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U:\blpc2021\Documents\Rates\Clean Energy Rider\Draft application\Application\Exhibits\September 30\"/>
    </mc:Choice>
  </mc:AlternateContent>
  <xr:revisionPtr revIDLastSave="0" documentId="13_ncr:1_{BE9C44C8-E1B2-46A2-B779-D1F5FC1D526F}" xr6:coauthVersionLast="47" xr6:coauthVersionMax="47" xr10:uidLastSave="{00000000-0000-0000-0000-000000000000}"/>
  <bookViews>
    <workbookView xWindow="-108" yWindow="-108" windowWidth="23256" windowHeight="12456" xr2:uid="{FD928F78-EFD2-45FC-9AFC-5F4FABC7C342}"/>
  </bookViews>
  <sheets>
    <sheet name="CETR Rate" sheetId="1" r:id="rId1"/>
    <sheet name="Rate Summary" sheetId="3" r:id="rId2"/>
    <sheet name="Domestic Service" sheetId="4" r:id="rId3"/>
    <sheet name="Employee" sheetId="11" r:id="rId4"/>
    <sheet name="General Service" sheetId="12" r:id="rId5"/>
    <sheet name="Street Lights" sheetId="13" r:id="rId6"/>
    <sheet name="Secondary Voltage Power" sheetId="8" r:id="rId7"/>
    <sheet name="Large Power" sheetId="9" r:id="rId8"/>
    <sheet name="Time of Use" sheetId="10" r:id="rId9"/>
    <sheet name="Tariffs" sheetId="5" r:id="rId10"/>
  </sheets>
  <externalReferences>
    <externalReference r:id="rId11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7" i="1" l="1"/>
  <c r="X3" i="11"/>
  <c r="X3" i="12"/>
  <c r="X3" i="4"/>
  <c r="C4" i="10" l="1"/>
  <c r="C3" i="9"/>
  <c r="C3" i="8"/>
  <c r="C3" i="13"/>
  <c r="Y3" i="13" s="1"/>
  <c r="C3" i="11"/>
  <c r="C3" i="12"/>
  <c r="C3" i="4"/>
  <c r="F3" i="3"/>
  <c r="Y8" i="13"/>
  <c r="Q8" i="13"/>
  <c r="I8" i="13"/>
  <c r="Y7" i="13"/>
  <c r="Q7" i="13"/>
  <c r="I7" i="13"/>
  <c r="X28" i="12"/>
  <c r="P28" i="12"/>
  <c r="H28" i="12"/>
  <c r="X27" i="12"/>
  <c r="P27" i="12"/>
  <c r="H27" i="12"/>
  <c r="X26" i="12"/>
  <c r="P26" i="12"/>
  <c r="H26" i="12"/>
  <c r="X25" i="12"/>
  <c r="P25" i="12"/>
  <c r="H25" i="12"/>
  <c r="X24" i="12"/>
  <c r="P24" i="12"/>
  <c r="H24" i="12"/>
  <c r="X23" i="12"/>
  <c r="P23" i="12"/>
  <c r="H23" i="12"/>
  <c r="X22" i="12"/>
  <c r="P22" i="12"/>
  <c r="H22" i="12"/>
  <c r="X21" i="12"/>
  <c r="P21" i="12"/>
  <c r="H21" i="12"/>
  <c r="X20" i="12"/>
  <c r="P20" i="12"/>
  <c r="H20" i="12"/>
  <c r="X19" i="12"/>
  <c r="P19" i="12"/>
  <c r="H19" i="12"/>
  <c r="X18" i="12"/>
  <c r="P18" i="12"/>
  <c r="H18" i="12"/>
  <c r="X17" i="12"/>
  <c r="P17" i="12"/>
  <c r="H17" i="12"/>
  <c r="X16" i="12"/>
  <c r="P16" i="12"/>
  <c r="H16" i="12"/>
  <c r="X15" i="12"/>
  <c r="P15" i="12"/>
  <c r="H15" i="12"/>
  <c r="X14" i="12"/>
  <c r="P14" i="12"/>
  <c r="H14" i="12"/>
  <c r="X13" i="12"/>
  <c r="P13" i="12"/>
  <c r="H13" i="12"/>
  <c r="X12" i="12"/>
  <c r="P12" i="12"/>
  <c r="H12" i="12"/>
  <c r="X11" i="12"/>
  <c r="P11" i="12"/>
  <c r="H11" i="12"/>
  <c r="X10" i="12"/>
  <c r="P10" i="12"/>
  <c r="H10" i="12"/>
  <c r="X9" i="12"/>
  <c r="P9" i="12"/>
  <c r="H9" i="12"/>
  <c r="X8" i="12"/>
  <c r="P8" i="12"/>
  <c r="H8" i="12"/>
  <c r="X7" i="12"/>
  <c r="P7" i="12"/>
  <c r="H7" i="12"/>
  <c r="X28" i="11"/>
  <c r="P28" i="11"/>
  <c r="H28" i="11"/>
  <c r="X27" i="11"/>
  <c r="P27" i="11"/>
  <c r="H27" i="11"/>
  <c r="X26" i="11"/>
  <c r="P26" i="11"/>
  <c r="H26" i="11"/>
  <c r="X25" i="11"/>
  <c r="P25" i="11"/>
  <c r="H25" i="11"/>
  <c r="X24" i="11"/>
  <c r="P24" i="11"/>
  <c r="H24" i="11"/>
  <c r="X23" i="11"/>
  <c r="P23" i="11"/>
  <c r="H23" i="11"/>
  <c r="X22" i="11"/>
  <c r="P22" i="11"/>
  <c r="H22" i="11"/>
  <c r="X21" i="11"/>
  <c r="P21" i="11"/>
  <c r="H21" i="11"/>
  <c r="X20" i="11"/>
  <c r="P20" i="11"/>
  <c r="H20" i="11"/>
  <c r="X19" i="11"/>
  <c r="P19" i="11"/>
  <c r="H19" i="11"/>
  <c r="X18" i="11"/>
  <c r="P18" i="11"/>
  <c r="H18" i="11"/>
  <c r="X17" i="11"/>
  <c r="P17" i="11"/>
  <c r="H17" i="11"/>
  <c r="X16" i="11"/>
  <c r="P16" i="11"/>
  <c r="H16" i="11"/>
  <c r="X15" i="11"/>
  <c r="P15" i="11"/>
  <c r="H15" i="11"/>
  <c r="X14" i="11"/>
  <c r="P14" i="11"/>
  <c r="H14" i="11"/>
  <c r="X13" i="11"/>
  <c r="P13" i="11"/>
  <c r="H13" i="11"/>
  <c r="X12" i="11"/>
  <c r="P12" i="11"/>
  <c r="H12" i="11"/>
  <c r="X11" i="11"/>
  <c r="P11" i="11"/>
  <c r="H11" i="11"/>
  <c r="X10" i="11"/>
  <c r="P10" i="11"/>
  <c r="H10" i="11"/>
  <c r="X9" i="11"/>
  <c r="P9" i="11"/>
  <c r="H9" i="11"/>
  <c r="X8" i="11"/>
  <c r="P8" i="11"/>
  <c r="H8" i="11"/>
  <c r="X7" i="11"/>
  <c r="P7" i="11"/>
  <c r="H7" i="11"/>
  <c r="E50" i="5" l="1"/>
  <c r="E57" i="5"/>
  <c r="E44" i="5"/>
  <c r="E43" i="5"/>
  <c r="E46" i="5"/>
  <c r="E41" i="5"/>
  <c r="G37" i="5"/>
  <c r="F37" i="5"/>
  <c r="E37" i="5"/>
  <c r="G36" i="5"/>
  <c r="F36" i="5"/>
  <c r="E36" i="5"/>
  <c r="H30" i="5"/>
  <c r="H31" i="5"/>
  <c r="H32" i="5"/>
  <c r="H29" i="5"/>
  <c r="G30" i="5"/>
  <c r="G31" i="5"/>
  <c r="G29" i="5"/>
  <c r="H20" i="5"/>
  <c r="H21" i="5"/>
  <c r="H22" i="5"/>
  <c r="H19" i="5"/>
  <c r="H10" i="5"/>
  <c r="H11" i="5"/>
  <c r="H12" i="5"/>
  <c r="H9" i="5"/>
  <c r="G10" i="5"/>
  <c r="G11" i="5"/>
  <c r="M27" i="4" s="1"/>
  <c r="G9" i="5"/>
  <c r="J18" i="5"/>
  <c r="J28" i="5" s="1"/>
  <c r="I36" i="5" s="1"/>
  <c r="G57" i="5" s="1"/>
  <c r="P8" i="4"/>
  <c r="P9" i="4"/>
  <c r="P10" i="4"/>
  <c r="P11" i="4"/>
  <c r="P12" i="4"/>
  <c r="P13" i="4"/>
  <c r="P14" i="4"/>
  <c r="P15" i="4"/>
  <c r="P16" i="4"/>
  <c r="P17" i="4"/>
  <c r="P18" i="4"/>
  <c r="P19" i="4"/>
  <c r="P20" i="4"/>
  <c r="P21" i="4"/>
  <c r="P22" i="4"/>
  <c r="P23" i="4"/>
  <c r="P24" i="4"/>
  <c r="P25" i="4"/>
  <c r="P26" i="4"/>
  <c r="P27" i="4"/>
  <c r="P28" i="4"/>
  <c r="H28" i="4"/>
  <c r="H27" i="4"/>
  <c r="H26" i="4"/>
  <c r="H25" i="4"/>
  <c r="H24" i="4"/>
  <c r="H23" i="4"/>
  <c r="H22" i="4"/>
  <c r="H21" i="4"/>
  <c r="H20" i="4"/>
  <c r="H19" i="4"/>
  <c r="H18" i="4"/>
  <c r="H17" i="4"/>
  <c r="H16" i="4"/>
  <c r="H15" i="4"/>
  <c r="H14" i="4"/>
  <c r="H13" i="4"/>
  <c r="H12" i="4"/>
  <c r="H11" i="4"/>
  <c r="H10" i="4"/>
  <c r="H9" i="4"/>
  <c r="H8" i="4"/>
  <c r="M10" i="4"/>
  <c r="P7" i="4"/>
  <c r="E8" i="4"/>
  <c r="H7" i="4"/>
  <c r="E7" i="4"/>
  <c r="X28" i="4"/>
  <c r="X27" i="4"/>
  <c r="X26" i="4"/>
  <c r="X25" i="4"/>
  <c r="X24" i="4"/>
  <c r="X23" i="4"/>
  <c r="X22" i="4"/>
  <c r="X21" i="4"/>
  <c r="X20" i="4"/>
  <c r="X19" i="4"/>
  <c r="X18" i="4"/>
  <c r="X17" i="4"/>
  <c r="X16" i="4"/>
  <c r="X15" i="4"/>
  <c r="X14" i="4"/>
  <c r="X13" i="4"/>
  <c r="X12" i="4"/>
  <c r="X11" i="4"/>
  <c r="X10" i="4"/>
  <c r="X9" i="4"/>
  <c r="X8" i="4"/>
  <c r="X7" i="4"/>
  <c r="F8" i="13" l="1"/>
  <c r="F7" i="13"/>
  <c r="F11" i="4"/>
  <c r="E7" i="12"/>
  <c r="M7" i="12" s="1"/>
  <c r="E8" i="12"/>
  <c r="M8" i="12" s="1"/>
  <c r="E9" i="12"/>
  <c r="M9" i="12" s="1"/>
  <c r="E10" i="12"/>
  <c r="M10" i="12" s="1"/>
  <c r="G32" i="5"/>
  <c r="E22" i="12"/>
  <c r="M22" i="12" s="1"/>
  <c r="E19" i="12"/>
  <c r="M19" i="12" s="1"/>
  <c r="E23" i="12"/>
  <c r="E27" i="12"/>
  <c r="M27" i="12" s="1"/>
  <c r="E24" i="12"/>
  <c r="M24" i="12" s="1"/>
  <c r="E25" i="12"/>
  <c r="M25" i="12" s="1"/>
  <c r="E18" i="12"/>
  <c r="M18" i="12" s="1"/>
  <c r="E26" i="12"/>
  <c r="M26" i="12" s="1"/>
  <c r="E21" i="12"/>
  <c r="M21" i="12" s="1"/>
  <c r="E20" i="12"/>
  <c r="M20" i="12" s="1"/>
  <c r="E28" i="12"/>
  <c r="M28" i="12" s="1"/>
  <c r="E14" i="12"/>
  <c r="M14" i="12" s="1"/>
  <c r="E15" i="12"/>
  <c r="E16" i="12"/>
  <c r="M16" i="12" s="1"/>
  <c r="E11" i="12"/>
  <c r="M11" i="12" s="1"/>
  <c r="E17" i="12"/>
  <c r="M17" i="12" s="1"/>
  <c r="E12" i="12"/>
  <c r="M12" i="12" s="1"/>
  <c r="E13" i="12"/>
  <c r="M13" i="12" s="1"/>
  <c r="F12" i="12"/>
  <c r="F20" i="12"/>
  <c r="F28" i="12"/>
  <c r="F17" i="12"/>
  <c r="F13" i="12"/>
  <c r="F21" i="12"/>
  <c r="F7" i="12"/>
  <c r="F14" i="12"/>
  <c r="F22" i="12"/>
  <c r="F15" i="12"/>
  <c r="N15" i="12" s="1"/>
  <c r="F23" i="12"/>
  <c r="N23" i="12" s="1"/>
  <c r="F25" i="12"/>
  <c r="F8" i="12"/>
  <c r="F16" i="12"/>
  <c r="F24" i="12"/>
  <c r="F9" i="12"/>
  <c r="F10" i="12"/>
  <c r="F18" i="12"/>
  <c r="F26" i="12"/>
  <c r="F11" i="12"/>
  <c r="F19" i="12"/>
  <c r="F27" i="12"/>
  <c r="F10" i="4"/>
  <c r="N10" i="4"/>
  <c r="O10" i="4" s="1"/>
  <c r="F28" i="11"/>
  <c r="F20" i="11"/>
  <c r="F12" i="11"/>
  <c r="F27" i="11"/>
  <c r="F19" i="11"/>
  <c r="F11" i="11"/>
  <c r="F14" i="11"/>
  <c r="F26" i="11"/>
  <c r="F18" i="11"/>
  <c r="F10" i="11"/>
  <c r="F22" i="11"/>
  <c r="F13" i="11"/>
  <c r="F25" i="11"/>
  <c r="F17" i="11"/>
  <c r="F9" i="11"/>
  <c r="F24" i="11"/>
  <c r="F16" i="11"/>
  <c r="F8" i="11"/>
  <c r="F23" i="11"/>
  <c r="F15" i="11"/>
  <c r="F7" i="11"/>
  <c r="F21" i="11"/>
  <c r="N16" i="4"/>
  <c r="G10" i="10"/>
  <c r="G18" i="10"/>
  <c r="G26" i="10"/>
  <c r="G25" i="10"/>
  <c r="G11" i="10"/>
  <c r="G19" i="10"/>
  <c r="G7" i="10"/>
  <c r="G23" i="10"/>
  <c r="G12" i="10"/>
  <c r="G20" i="10"/>
  <c r="G15" i="10"/>
  <c r="G13" i="10"/>
  <c r="G21" i="10"/>
  <c r="G14" i="10"/>
  <c r="G22" i="10"/>
  <c r="G17" i="10"/>
  <c r="G8" i="10"/>
  <c r="G16" i="10"/>
  <c r="G24" i="10"/>
  <c r="G9" i="10"/>
  <c r="I12" i="8"/>
  <c r="I13" i="8"/>
  <c r="I11" i="8"/>
  <c r="I14" i="8"/>
  <c r="I17" i="8"/>
  <c r="I15" i="8"/>
  <c r="I7" i="8"/>
  <c r="I8" i="8"/>
  <c r="I16" i="8"/>
  <c r="I9" i="8"/>
  <c r="I10" i="8"/>
  <c r="I18" i="8"/>
  <c r="H14" i="9"/>
  <c r="H11" i="9"/>
  <c r="H15" i="9"/>
  <c r="H8" i="9"/>
  <c r="H16" i="9"/>
  <c r="H9" i="9"/>
  <c r="H7" i="9"/>
  <c r="H10" i="9"/>
  <c r="H12" i="9"/>
  <c r="H13" i="9"/>
  <c r="F12" i="4"/>
  <c r="F28" i="4"/>
  <c r="F7" i="4"/>
  <c r="N7" i="4"/>
  <c r="N8" i="4"/>
  <c r="F8" i="4"/>
  <c r="N9" i="4"/>
  <c r="F9" i="4"/>
  <c r="E12" i="4"/>
  <c r="E18" i="4"/>
  <c r="E22" i="4"/>
  <c r="E26" i="4"/>
  <c r="M19" i="4"/>
  <c r="M23" i="4"/>
  <c r="F20" i="4"/>
  <c r="N17" i="4"/>
  <c r="F13" i="4"/>
  <c r="N11" i="4"/>
  <c r="N19" i="4"/>
  <c r="F14" i="4"/>
  <c r="F26" i="4"/>
  <c r="N12" i="4"/>
  <c r="N21" i="4"/>
  <c r="F15" i="4"/>
  <c r="N13" i="4"/>
  <c r="F16" i="4"/>
  <c r="N14" i="4"/>
  <c r="F17" i="4"/>
  <c r="N15" i="4"/>
  <c r="N27" i="4"/>
  <c r="O27" i="4" s="1"/>
  <c r="E9" i="4"/>
  <c r="F22" i="4"/>
  <c r="M8" i="4"/>
  <c r="F24" i="4"/>
  <c r="N23" i="4"/>
  <c r="E10" i="4"/>
  <c r="M9" i="4"/>
  <c r="N25" i="4"/>
  <c r="F18" i="4"/>
  <c r="M7" i="4"/>
  <c r="E19" i="4"/>
  <c r="E27" i="4"/>
  <c r="M20" i="4"/>
  <c r="M28" i="4"/>
  <c r="G12" i="5"/>
  <c r="F19" i="4"/>
  <c r="F23" i="4"/>
  <c r="F27" i="4"/>
  <c r="N20" i="4"/>
  <c r="N24" i="4"/>
  <c r="N28" i="4"/>
  <c r="E23" i="4"/>
  <c r="M24" i="4"/>
  <c r="E20" i="4"/>
  <c r="E24" i="4"/>
  <c r="E28" i="4"/>
  <c r="M21" i="4"/>
  <c r="M25" i="4"/>
  <c r="E21" i="4"/>
  <c r="E25" i="4"/>
  <c r="M18" i="4"/>
  <c r="M22" i="4"/>
  <c r="M26" i="4"/>
  <c r="E16" i="4"/>
  <c r="F21" i="4"/>
  <c r="F25" i="4"/>
  <c r="N18" i="4"/>
  <c r="N22" i="4"/>
  <c r="N26" i="4"/>
  <c r="M14" i="4"/>
  <c r="E13" i="4"/>
  <c r="E17" i="4"/>
  <c r="M11" i="4"/>
  <c r="M15" i="4"/>
  <c r="M12" i="4"/>
  <c r="M16" i="4"/>
  <c r="E14" i="4"/>
  <c r="E11" i="4"/>
  <c r="E15" i="4"/>
  <c r="M13" i="4"/>
  <c r="M17" i="4"/>
  <c r="N7" i="13" l="1"/>
  <c r="P7" i="13" s="1"/>
  <c r="H7" i="13"/>
  <c r="J7" i="13" s="1"/>
  <c r="K7" i="13" s="1"/>
  <c r="L7" i="13" s="1"/>
  <c r="N8" i="13"/>
  <c r="P8" i="13" s="1"/>
  <c r="H8" i="13"/>
  <c r="J8" i="13" s="1"/>
  <c r="K8" i="13" s="1"/>
  <c r="L8" i="13" s="1"/>
  <c r="O16" i="4"/>
  <c r="G23" i="11"/>
  <c r="I23" i="11" s="1"/>
  <c r="J23" i="11" s="1"/>
  <c r="K23" i="11" s="1"/>
  <c r="N23" i="11"/>
  <c r="O23" i="11" s="1"/>
  <c r="G22" i="11"/>
  <c r="I22" i="11" s="1"/>
  <c r="J22" i="11" s="1"/>
  <c r="K22" i="11" s="1"/>
  <c r="N22" i="11"/>
  <c r="O22" i="11" s="1"/>
  <c r="G12" i="11"/>
  <c r="I12" i="11" s="1"/>
  <c r="J12" i="11" s="1"/>
  <c r="K12" i="11" s="1"/>
  <c r="N12" i="11"/>
  <c r="O12" i="11" s="1"/>
  <c r="G19" i="12"/>
  <c r="I19" i="12" s="1"/>
  <c r="J19" i="12" s="1"/>
  <c r="K19" i="12" s="1"/>
  <c r="N19" i="12"/>
  <c r="O19" i="12" s="1"/>
  <c r="G8" i="12"/>
  <c r="I8" i="12" s="1"/>
  <c r="J8" i="12" s="1"/>
  <c r="K8" i="12" s="1"/>
  <c r="N8" i="12"/>
  <c r="O8" i="12" s="1"/>
  <c r="N13" i="12"/>
  <c r="O13" i="12" s="1"/>
  <c r="G13" i="12"/>
  <c r="I13" i="12" s="1"/>
  <c r="J13" i="12" s="1"/>
  <c r="K13" i="12" s="1"/>
  <c r="G8" i="11"/>
  <c r="I8" i="11" s="1"/>
  <c r="J8" i="11" s="1"/>
  <c r="K8" i="11" s="1"/>
  <c r="N8" i="11"/>
  <c r="O8" i="11" s="1"/>
  <c r="G10" i="11"/>
  <c r="I10" i="11" s="1"/>
  <c r="J10" i="11" s="1"/>
  <c r="K10" i="11" s="1"/>
  <c r="N10" i="11"/>
  <c r="O10" i="11" s="1"/>
  <c r="G20" i="11"/>
  <c r="I20" i="11" s="1"/>
  <c r="J20" i="11" s="1"/>
  <c r="K20" i="11" s="1"/>
  <c r="N20" i="11"/>
  <c r="O20" i="11" s="1"/>
  <c r="G11" i="12"/>
  <c r="I11" i="12" s="1"/>
  <c r="J11" i="12" s="1"/>
  <c r="K11" i="12" s="1"/>
  <c r="N11" i="12"/>
  <c r="O11" i="12" s="1"/>
  <c r="N25" i="12"/>
  <c r="O25" i="12" s="1"/>
  <c r="G25" i="12"/>
  <c r="I25" i="12" s="1"/>
  <c r="J25" i="12" s="1"/>
  <c r="K25" i="12" s="1"/>
  <c r="N17" i="12"/>
  <c r="O17" i="12" s="1"/>
  <c r="G17" i="12"/>
  <c r="I17" i="12" s="1"/>
  <c r="J17" i="12" s="1"/>
  <c r="K17" i="12" s="1"/>
  <c r="G16" i="11"/>
  <c r="I16" i="11" s="1"/>
  <c r="J16" i="11" s="1"/>
  <c r="K16" i="11" s="1"/>
  <c r="N16" i="11"/>
  <c r="O16" i="11" s="1"/>
  <c r="N26" i="12"/>
  <c r="O26" i="12" s="1"/>
  <c r="G26" i="12"/>
  <c r="I26" i="12" s="1"/>
  <c r="J26" i="12" s="1"/>
  <c r="K26" i="12" s="1"/>
  <c r="O9" i="4"/>
  <c r="G9" i="11"/>
  <c r="I9" i="11" s="1"/>
  <c r="J9" i="11" s="1"/>
  <c r="K9" i="11" s="1"/>
  <c r="N9" i="11"/>
  <c r="O9" i="11" s="1"/>
  <c r="G14" i="11"/>
  <c r="I14" i="11" s="1"/>
  <c r="J14" i="11" s="1"/>
  <c r="K14" i="11" s="1"/>
  <c r="N14" i="11"/>
  <c r="O14" i="11" s="1"/>
  <c r="G10" i="12"/>
  <c r="I10" i="12" s="1"/>
  <c r="J10" i="12" s="1"/>
  <c r="K10" i="12" s="1"/>
  <c r="N10" i="12"/>
  <c r="O10" i="12" s="1"/>
  <c r="N22" i="12"/>
  <c r="O22" i="12" s="1"/>
  <c r="G22" i="12"/>
  <c r="I22" i="12" s="1"/>
  <c r="J22" i="12" s="1"/>
  <c r="K22" i="12" s="1"/>
  <c r="G12" i="12"/>
  <c r="I12" i="12" s="1"/>
  <c r="J12" i="12" s="1"/>
  <c r="K12" i="12" s="1"/>
  <c r="N12" i="12"/>
  <c r="O12" i="12" s="1"/>
  <c r="G18" i="11"/>
  <c r="I18" i="11" s="1"/>
  <c r="J18" i="11" s="1"/>
  <c r="K18" i="11" s="1"/>
  <c r="N18" i="11"/>
  <c r="O18" i="11" s="1"/>
  <c r="N28" i="12"/>
  <c r="O28" i="12" s="1"/>
  <c r="G28" i="12"/>
  <c r="I28" i="12" s="1"/>
  <c r="J28" i="12" s="1"/>
  <c r="K28" i="12" s="1"/>
  <c r="G21" i="11"/>
  <c r="I21" i="11" s="1"/>
  <c r="J21" i="11" s="1"/>
  <c r="K21" i="11" s="1"/>
  <c r="N21" i="11"/>
  <c r="O21" i="11" s="1"/>
  <c r="G17" i="11"/>
  <c r="I17" i="11" s="1"/>
  <c r="J17" i="11" s="1"/>
  <c r="K17" i="11" s="1"/>
  <c r="N17" i="11"/>
  <c r="O17" i="11" s="1"/>
  <c r="G11" i="11"/>
  <c r="I11" i="11" s="1"/>
  <c r="J11" i="11" s="1"/>
  <c r="K11" i="11" s="1"/>
  <c r="N11" i="11"/>
  <c r="O11" i="11" s="1"/>
  <c r="G9" i="12"/>
  <c r="I9" i="12" s="1"/>
  <c r="J9" i="12" s="1"/>
  <c r="K9" i="12" s="1"/>
  <c r="N9" i="12"/>
  <c r="O9" i="12" s="1"/>
  <c r="G14" i="12"/>
  <c r="I14" i="12" s="1"/>
  <c r="J14" i="12" s="1"/>
  <c r="K14" i="12" s="1"/>
  <c r="N14" i="12"/>
  <c r="O14" i="12" s="1"/>
  <c r="G24" i="11"/>
  <c r="I24" i="11" s="1"/>
  <c r="J24" i="11" s="1"/>
  <c r="K24" i="11" s="1"/>
  <c r="N24" i="11"/>
  <c r="O24" i="11" s="1"/>
  <c r="N18" i="12"/>
  <c r="O18" i="12" s="1"/>
  <c r="G18" i="12"/>
  <c r="I18" i="12" s="1"/>
  <c r="J18" i="12" s="1"/>
  <c r="K18" i="12" s="1"/>
  <c r="G15" i="12"/>
  <c r="I15" i="12" s="1"/>
  <c r="J15" i="12" s="1"/>
  <c r="K15" i="12" s="1"/>
  <c r="M15" i="12"/>
  <c r="O15" i="12" s="1"/>
  <c r="G7" i="11"/>
  <c r="I7" i="11" s="1"/>
  <c r="J7" i="11" s="1"/>
  <c r="K7" i="11" s="1"/>
  <c r="N7" i="11"/>
  <c r="O7" i="11" s="1"/>
  <c r="G25" i="11"/>
  <c r="I25" i="11" s="1"/>
  <c r="J25" i="11" s="1"/>
  <c r="K25" i="11" s="1"/>
  <c r="N25" i="11"/>
  <c r="O25" i="11" s="1"/>
  <c r="G19" i="11"/>
  <c r="I19" i="11" s="1"/>
  <c r="J19" i="11" s="1"/>
  <c r="K19" i="11" s="1"/>
  <c r="N19" i="11"/>
  <c r="O19" i="11" s="1"/>
  <c r="N24" i="12"/>
  <c r="O24" i="12" s="1"/>
  <c r="G24" i="12"/>
  <c r="I24" i="12" s="1"/>
  <c r="J24" i="12" s="1"/>
  <c r="K24" i="12" s="1"/>
  <c r="G7" i="12"/>
  <c r="I7" i="12" s="1"/>
  <c r="J7" i="12" s="1"/>
  <c r="K7" i="12" s="1"/>
  <c r="N7" i="12"/>
  <c r="O7" i="12" s="1"/>
  <c r="G23" i="12"/>
  <c r="I23" i="12" s="1"/>
  <c r="J23" i="12" s="1"/>
  <c r="K23" i="12" s="1"/>
  <c r="M23" i="12"/>
  <c r="O23" i="12" s="1"/>
  <c r="G28" i="11"/>
  <c r="I28" i="11" s="1"/>
  <c r="J28" i="11" s="1"/>
  <c r="K28" i="11" s="1"/>
  <c r="N28" i="11"/>
  <c r="O28" i="11" s="1"/>
  <c r="G26" i="11"/>
  <c r="I26" i="11" s="1"/>
  <c r="J26" i="11" s="1"/>
  <c r="K26" i="11" s="1"/>
  <c r="N26" i="11"/>
  <c r="O26" i="11" s="1"/>
  <c r="N20" i="12"/>
  <c r="O20" i="12" s="1"/>
  <c r="G20" i="12"/>
  <c r="I20" i="12" s="1"/>
  <c r="J20" i="12" s="1"/>
  <c r="K20" i="12" s="1"/>
  <c r="G15" i="11"/>
  <c r="I15" i="11" s="1"/>
  <c r="J15" i="11" s="1"/>
  <c r="K15" i="11" s="1"/>
  <c r="N15" i="11"/>
  <c r="O15" i="11" s="1"/>
  <c r="G13" i="11"/>
  <c r="I13" i="11" s="1"/>
  <c r="J13" i="11" s="1"/>
  <c r="K13" i="11" s="1"/>
  <c r="N13" i="11"/>
  <c r="O13" i="11" s="1"/>
  <c r="G27" i="11"/>
  <c r="I27" i="11" s="1"/>
  <c r="J27" i="11" s="1"/>
  <c r="K27" i="11" s="1"/>
  <c r="N27" i="11"/>
  <c r="O27" i="11" s="1"/>
  <c r="N27" i="12"/>
  <c r="O27" i="12" s="1"/>
  <c r="G27" i="12"/>
  <c r="I27" i="12" s="1"/>
  <c r="J27" i="12" s="1"/>
  <c r="K27" i="12" s="1"/>
  <c r="N16" i="12"/>
  <c r="O16" i="12" s="1"/>
  <c r="G16" i="12"/>
  <c r="I16" i="12" s="1"/>
  <c r="J16" i="12" s="1"/>
  <c r="K16" i="12" s="1"/>
  <c r="N21" i="12"/>
  <c r="O21" i="12" s="1"/>
  <c r="G21" i="12"/>
  <c r="I21" i="12" s="1"/>
  <c r="J21" i="12" s="1"/>
  <c r="K21" i="12" s="1"/>
  <c r="O25" i="4"/>
  <c r="O20" i="4"/>
  <c r="O14" i="4"/>
  <c r="O28" i="4"/>
  <c r="O7" i="4"/>
  <c r="O11" i="4"/>
  <c r="O19" i="4"/>
  <c r="O23" i="4"/>
  <c r="O8" i="4"/>
  <c r="O24" i="4"/>
  <c r="O17" i="4"/>
  <c r="O18" i="4"/>
  <c r="O12" i="4"/>
  <c r="O13" i="4"/>
  <c r="O15" i="4"/>
  <c r="O21" i="4"/>
  <c r="O22" i="4"/>
  <c r="O26" i="4"/>
  <c r="F10" i="1" l="1"/>
  <c r="F11" i="1"/>
  <c r="F12" i="1"/>
  <c r="F7" i="1"/>
  <c r="B13" i="1"/>
  <c r="B9" i="1"/>
  <c r="F9" i="1" s="1"/>
  <c r="B8" i="1"/>
  <c r="F8" i="1" s="1"/>
  <c r="F13" i="1" l="1"/>
  <c r="F14" i="1" l="1"/>
  <c r="D14" i="1" l="1"/>
  <c r="G7" i="4" l="1"/>
  <c r="I7" i="4" s="1"/>
  <c r="J7" i="4" s="1"/>
  <c r="K7" i="4" s="1"/>
  <c r="G23" i="4"/>
  <c r="I23" i="4" s="1"/>
  <c r="J23" i="4" s="1"/>
  <c r="K23" i="4" s="1"/>
  <c r="G24" i="4"/>
  <c r="I24" i="4" s="1"/>
  <c r="J24" i="4" s="1"/>
  <c r="K24" i="4" s="1"/>
  <c r="G8" i="4"/>
  <c r="I8" i="4" s="1"/>
  <c r="J8" i="4" s="1"/>
  <c r="K8" i="4" s="1"/>
  <c r="G21" i="4"/>
  <c r="I21" i="4" s="1"/>
  <c r="G13" i="4"/>
  <c r="I13" i="4" s="1"/>
  <c r="J13" i="4" s="1"/>
  <c r="K13" i="4" s="1"/>
  <c r="G15" i="4"/>
  <c r="I15" i="4" s="1"/>
  <c r="G28" i="4"/>
  <c r="I28" i="4" s="1"/>
  <c r="G17" i="4"/>
  <c r="I17" i="4" s="1"/>
  <c r="J17" i="4" s="1"/>
  <c r="K17" i="4" s="1"/>
  <c r="G10" i="4"/>
  <c r="I10" i="4" s="1"/>
  <c r="G19" i="4"/>
  <c r="I19" i="4" s="1"/>
  <c r="J19" i="4" s="1"/>
  <c r="K19" i="4" s="1"/>
  <c r="G11" i="4"/>
  <c r="I11" i="4" s="1"/>
  <c r="G22" i="4"/>
  <c r="I22" i="4" s="1"/>
  <c r="G16" i="4"/>
  <c r="I16" i="4" s="1"/>
  <c r="J16" i="4" s="1"/>
  <c r="K16" i="4" s="1"/>
  <c r="G18" i="4"/>
  <c r="I18" i="4" s="1"/>
  <c r="G20" i="4"/>
  <c r="I20" i="4" s="1"/>
  <c r="J20" i="4" s="1"/>
  <c r="K20" i="4" s="1"/>
  <c r="G26" i="4"/>
  <c r="I26" i="4" s="1"/>
  <c r="G9" i="4"/>
  <c r="I9" i="4" s="1"/>
  <c r="G14" i="4"/>
  <c r="I14" i="4" s="1"/>
  <c r="J14" i="4" s="1"/>
  <c r="K14" i="4" s="1"/>
  <c r="G25" i="4"/>
  <c r="I25" i="4" s="1"/>
  <c r="G27" i="4"/>
  <c r="I27" i="4" s="1"/>
  <c r="G12" i="4"/>
  <c r="I12" i="4" s="1"/>
  <c r="J11" i="4" l="1"/>
  <c r="K11" i="4" s="1"/>
  <c r="J10" i="4"/>
  <c r="K10" i="4" s="1"/>
  <c r="J25" i="4"/>
  <c r="K25" i="4" s="1"/>
  <c r="J26" i="4"/>
  <c r="K26" i="4" s="1"/>
  <c r="J15" i="4"/>
  <c r="K15" i="4" s="1"/>
  <c r="J28" i="4"/>
  <c r="K28" i="4" s="1"/>
  <c r="J27" i="4"/>
  <c r="K27" i="4" s="1"/>
  <c r="J21" i="4"/>
  <c r="K21" i="4" s="1"/>
  <c r="J9" i="4"/>
  <c r="K9" i="4" s="1"/>
  <c r="J18" i="4"/>
  <c r="K18" i="4" s="1"/>
  <c r="J12" i="4"/>
  <c r="K12" i="4" s="1"/>
  <c r="J22" i="4"/>
  <c r="K22" i="4" s="1"/>
  <c r="L19" i="1" l="1"/>
  <c r="H19" i="1"/>
  <c r="H12" i="1" l="1"/>
  <c r="H10" i="1"/>
  <c r="H13" i="1"/>
  <c r="H8" i="1"/>
  <c r="H9" i="1"/>
  <c r="H11" i="1"/>
  <c r="H7" i="1"/>
  <c r="J11" i="1" l="1"/>
  <c r="J43" i="3"/>
  <c r="L11" i="1"/>
  <c r="J36" i="5"/>
  <c r="L7" i="1"/>
  <c r="K8" i="5"/>
  <c r="J20" i="3"/>
  <c r="J7" i="1"/>
  <c r="J9" i="1"/>
  <c r="L9" i="1"/>
  <c r="J38" i="3"/>
  <c r="K28" i="5"/>
  <c r="H57" i="5"/>
  <c r="J13" i="1"/>
  <c r="J63" i="3"/>
  <c r="L13" i="1"/>
  <c r="J28" i="3"/>
  <c r="L8" i="1"/>
  <c r="J8" i="1"/>
  <c r="K18" i="5"/>
  <c r="J48" i="3"/>
  <c r="L10" i="1"/>
  <c r="J10" i="1"/>
  <c r="J37" i="5"/>
  <c r="J12" i="1"/>
  <c r="L12" i="1"/>
  <c r="J55" i="3"/>
  <c r="E52" i="5"/>
  <c r="J14" i="1" l="1"/>
  <c r="S8" i="13"/>
  <c r="U8" i="13" s="1"/>
  <c r="W8" i="13" s="1"/>
  <c r="S7" i="13"/>
  <c r="U7" i="13" s="1"/>
  <c r="W7" i="13" s="1"/>
  <c r="L20" i="1"/>
  <c r="H14" i="1"/>
  <c r="L14" i="1"/>
  <c r="J15" i="1"/>
  <c r="H20" i="1"/>
  <c r="R15" i="11"/>
  <c r="T15" i="11" s="1"/>
  <c r="V15" i="11" s="1"/>
  <c r="R12" i="11"/>
  <c r="T12" i="11" s="1"/>
  <c r="V12" i="11" s="1"/>
  <c r="R11" i="11"/>
  <c r="T11" i="11" s="1"/>
  <c r="V11" i="11" s="1"/>
  <c r="R20" i="11"/>
  <c r="T20" i="11" s="1"/>
  <c r="V20" i="11" s="1"/>
  <c r="R19" i="11"/>
  <c r="T19" i="11" s="1"/>
  <c r="V19" i="11" s="1"/>
  <c r="R18" i="11"/>
  <c r="T18" i="11" s="1"/>
  <c r="V18" i="11" s="1"/>
  <c r="R14" i="11"/>
  <c r="T14" i="11" s="1"/>
  <c r="V14" i="11" s="1"/>
  <c r="R24" i="11"/>
  <c r="T24" i="11" s="1"/>
  <c r="V24" i="11" s="1"/>
  <c r="R26" i="11"/>
  <c r="T26" i="11" s="1"/>
  <c r="V26" i="11" s="1"/>
  <c r="R25" i="11"/>
  <c r="T25" i="11" s="1"/>
  <c r="V25" i="11" s="1"/>
  <c r="R28" i="11"/>
  <c r="T28" i="11" s="1"/>
  <c r="V28" i="11" s="1"/>
  <c r="R27" i="11"/>
  <c r="T27" i="11" s="1"/>
  <c r="V27" i="11" s="1"/>
  <c r="R7" i="11"/>
  <c r="T7" i="11" s="1"/>
  <c r="V7" i="11" s="1"/>
  <c r="R17" i="11"/>
  <c r="T17" i="11" s="1"/>
  <c r="V17" i="11" s="1"/>
  <c r="R13" i="11"/>
  <c r="T13" i="11" s="1"/>
  <c r="V13" i="11" s="1"/>
  <c r="R8" i="11"/>
  <c r="T8" i="11" s="1"/>
  <c r="V8" i="11" s="1"/>
  <c r="R21" i="11"/>
  <c r="T21" i="11" s="1"/>
  <c r="V21" i="11" s="1"/>
  <c r="R16" i="11"/>
  <c r="T16" i="11" s="1"/>
  <c r="V16" i="11" s="1"/>
  <c r="R9" i="11"/>
  <c r="T9" i="11" s="1"/>
  <c r="V9" i="11" s="1"/>
  <c r="R23" i="11"/>
  <c r="T23" i="11" s="1"/>
  <c r="V23" i="11" s="1"/>
  <c r="R22" i="11"/>
  <c r="T22" i="11" s="1"/>
  <c r="V22" i="11" s="1"/>
  <c r="R10" i="11"/>
  <c r="T10" i="11" s="1"/>
  <c r="V10" i="11" s="1"/>
  <c r="I14" i="9"/>
  <c r="I13" i="9"/>
  <c r="I7" i="9"/>
  <c r="I9" i="9"/>
  <c r="I11" i="9"/>
  <c r="I10" i="9"/>
  <c r="I12" i="9"/>
  <c r="I16" i="9"/>
  <c r="I8" i="9"/>
  <c r="I15" i="9"/>
  <c r="H11" i="10"/>
  <c r="H23" i="10"/>
  <c r="H7" i="10"/>
  <c r="H13" i="10"/>
  <c r="H15" i="10"/>
  <c r="H19" i="10"/>
  <c r="H17" i="10"/>
  <c r="H21" i="10"/>
  <c r="H9" i="10"/>
  <c r="H10" i="10"/>
  <c r="H20" i="10"/>
  <c r="H16" i="10"/>
  <c r="H14" i="10"/>
  <c r="H25" i="10"/>
  <c r="H18" i="10"/>
  <c r="H8" i="10"/>
  <c r="H22" i="10"/>
  <c r="H24" i="10"/>
  <c r="H12" i="10"/>
  <c r="H26" i="10"/>
  <c r="R14" i="4"/>
  <c r="T14" i="4" s="1"/>
  <c r="V14" i="4" s="1"/>
  <c r="R13" i="4"/>
  <c r="T13" i="4" s="1"/>
  <c r="V13" i="4" s="1"/>
  <c r="R26" i="4"/>
  <c r="T26" i="4" s="1"/>
  <c r="V26" i="4" s="1"/>
  <c r="R15" i="4"/>
  <c r="T15" i="4" s="1"/>
  <c r="V15" i="4" s="1"/>
  <c r="R22" i="4"/>
  <c r="T22" i="4" s="1"/>
  <c r="V22" i="4" s="1"/>
  <c r="R17" i="4"/>
  <c r="T17" i="4" s="1"/>
  <c r="V17" i="4" s="1"/>
  <c r="R24" i="4"/>
  <c r="T24" i="4" s="1"/>
  <c r="V24" i="4" s="1"/>
  <c r="R10" i="4"/>
  <c r="T10" i="4" s="1"/>
  <c r="V10" i="4" s="1"/>
  <c r="R8" i="4"/>
  <c r="T8" i="4" s="1"/>
  <c r="V8" i="4" s="1"/>
  <c r="R20" i="4"/>
  <c r="T20" i="4" s="1"/>
  <c r="V20" i="4" s="1"/>
  <c r="R12" i="4"/>
  <c r="T12" i="4" s="1"/>
  <c r="V12" i="4" s="1"/>
  <c r="R23" i="4"/>
  <c r="T23" i="4" s="1"/>
  <c r="V23" i="4" s="1"/>
  <c r="R9" i="4"/>
  <c r="T9" i="4" s="1"/>
  <c r="V9" i="4" s="1"/>
  <c r="R21" i="4"/>
  <c r="T21" i="4" s="1"/>
  <c r="V21" i="4" s="1"/>
  <c r="R27" i="4"/>
  <c r="T27" i="4" s="1"/>
  <c r="V27" i="4" s="1"/>
  <c r="R18" i="4"/>
  <c r="T18" i="4" s="1"/>
  <c r="V18" i="4" s="1"/>
  <c r="R25" i="4"/>
  <c r="T25" i="4" s="1"/>
  <c r="V25" i="4" s="1"/>
  <c r="R7" i="4"/>
  <c r="T7" i="4" s="1"/>
  <c r="V7" i="4" s="1"/>
  <c r="R16" i="4"/>
  <c r="T16" i="4" s="1"/>
  <c r="V16" i="4" s="1"/>
  <c r="R11" i="4"/>
  <c r="T11" i="4" s="1"/>
  <c r="V11" i="4" s="1"/>
  <c r="R28" i="4"/>
  <c r="T28" i="4" s="1"/>
  <c r="V28" i="4" s="1"/>
  <c r="R19" i="4"/>
  <c r="T19" i="4" s="1"/>
  <c r="V19" i="4" s="1"/>
  <c r="R21" i="12"/>
  <c r="T21" i="12" s="1"/>
  <c r="V21" i="12" s="1"/>
  <c r="R17" i="12"/>
  <c r="T17" i="12" s="1"/>
  <c r="V17" i="12" s="1"/>
  <c r="R10" i="12"/>
  <c r="T10" i="12" s="1"/>
  <c r="V10" i="12" s="1"/>
  <c r="R22" i="12"/>
  <c r="T22" i="12" s="1"/>
  <c r="V22" i="12" s="1"/>
  <c r="R23" i="12"/>
  <c r="T23" i="12" s="1"/>
  <c r="V23" i="12" s="1"/>
  <c r="R26" i="12"/>
  <c r="T26" i="12" s="1"/>
  <c r="V26" i="12" s="1"/>
  <c r="R28" i="12"/>
  <c r="T28" i="12" s="1"/>
  <c r="V28" i="12" s="1"/>
  <c r="R9" i="12"/>
  <c r="T9" i="12" s="1"/>
  <c r="V9" i="12" s="1"/>
  <c r="R25" i="12"/>
  <c r="T25" i="12" s="1"/>
  <c r="V25" i="12" s="1"/>
  <c r="R7" i="12"/>
  <c r="T7" i="12" s="1"/>
  <c r="V7" i="12" s="1"/>
  <c r="R15" i="12"/>
  <c r="T15" i="12" s="1"/>
  <c r="V15" i="12" s="1"/>
  <c r="R20" i="12"/>
  <c r="T20" i="12" s="1"/>
  <c r="V20" i="12" s="1"/>
  <c r="R8" i="12"/>
  <c r="T8" i="12" s="1"/>
  <c r="V8" i="12" s="1"/>
  <c r="R14" i="12"/>
  <c r="T14" i="12" s="1"/>
  <c r="V14" i="12" s="1"/>
  <c r="R24" i="12"/>
  <c r="T24" i="12" s="1"/>
  <c r="V24" i="12" s="1"/>
  <c r="R27" i="12"/>
  <c r="T27" i="12" s="1"/>
  <c r="V27" i="12" s="1"/>
  <c r="R13" i="12"/>
  <c r="T13" i="12" s="1"/>
  <c r="V13" i="12" s="1"/>
  <c r="R11" i="12"/>
  <c r="T11" i="12" s="1"/>
  <c r="V11" i="12" s="1"/>
  <c r="R12" i="12"/>
  <c r="T12" i="12" s="1"/>
  <c r="V12" i="12" s="1"/>
  <c r="R19" i="12"/>
  <c r="T19" i="12" s="1"/>
  <c r="V19" i="12" s="1"/>
  <c r="R18" i="12"/>
  <c r="T18" i="12" s="1"/>
  <c r="V18" i="12" s="1"/>
  <c r="R16" i="12"/>
  <c r="T16" i="12" s="1"/>
  <c r="V16" i="12" s="1"/>
  <c r="K9" i="8"/>
  <c r="K7" i="8"/>
  <c r="K10" i="8"/>
  <c r="K18" i="8"/>
  <c r="K12" i="8"/>
  <c r="K14" i="8"/>
  <c r="K17" i="8"/>
  <c r="K15" i="8"/>
  <c r="K11" i="8"/>
  <c r="K13" i="8"/>
  <c r="K8" i="8"/>
  <c r="K16" i="8"/>
  <c r="Y24" i="12" l="1"/>
  <c r="Z24" i="12" s="1"/>
  <c r="AA24" i="12"/>
  <c r="AB24" i="12" s="1"/>
  <c r="Y22" i="4"/>
  <c r="Z22" i="4" s="1"/>
  <c r="AA22" i="4"/>
  <c r="AB22" i="4" s="1"/>
  <c r="Y26" i="11"/>
  <c r="Z26" i="11" s="1"/>
  <c r="AA26" i="11"/>
  <c r="AB26" i="11" s="1"/>
  <c r="AA16" i="12"/>
  <c r="AB16" i="12" s="1"/>
  <c r="Y16" i="12"/>
  <c r="Z16" i="12" s="1"/>
  <c r="J8" i="10"/>
  <c r="K8" i="10" s="1"/>
  <c r="M8" i="10"/>
  <c r="N8" i="10" s="1"/>
  <c r="AA8" i="11"/>
  <c r="AB8" i="11" s="1"/>
  <c r="Y8" i="11"/>
  <c r="Z8" i="11" s="1"/>
  <c r="Y8" i="12"/>
  <c r="Z8" i="12" s="1"/>
  <c r="AA8" i="12"/>
  <c r="AB8" i="12" s="1"/>
  <c r="Y26" i="4"/>
  <c r="Z26" i="4" s="1"/>
  <c r="AA26" i="4"/>
  <c r="AB26" i="4" s="1"/>
  <c r="Y13" i="11"/>
  <c r="Z13" i="11" s="1"/>
  <c r="AA13" i="11"/>
  <c r="AB13" i="11" s="1"/>
  <c r="Y19" i="12"/>
  <c r="Z19" i="12" s="1"/>
  <c r="AA19" i="12"/>
  <c r="AB19" i="12" s="1"/>
  <c r="AA20" i="12"/>
  <c r="AB20" i="12" s="1"/>
  <c r="Y20" i="12"/>
  <c r="Z20" i="12" s="1"/>
  <c r="AA22" i="12"/>
  <c r="AB22" i="12" s="1"/>
  <c r="Y22" i="12"/>
  <c r="Z22" i="12" s="1"/>
  <c r="AA7" i="4"/>
  <c r="AB7" i="4" s="1"/>
  <c r="Y7" i="4"/>
  <c r="Z7" i="4" s="1"/>
  <c r="AA20" i="4"/>
  <c r="AB20" i="4" s="1"/>
  <c r="Y20" i="4"/>
  <c r="Z20" i="4" s="1"/>
  <c r="Y13" i="4"/>
  <c r="Z13" i="4" s="1"/>
  <c r="AA13" i="4"/>
  <c r="AB13" i="4" s="1"/>
  <c r="M25" i="10"/>
  <c r="N25" i="10" s="1"/>
  <c r="J25" i="10"/>
  <c r="K25" i="10" s="1"/>
  <c r="J19" i="10"/>
  <c r="K19" i="10" s="1"/>
  <c r="M19" i="10"/>
  <c r="N19" i="10" s="1"/>
  <c r="N16" i="9"/>
  <c r="O16" i="9" s="1"/>
  <c r="K16" i="9"/>
  <c r="L16" i="9" s="1"/>
  <c r="AA10" i="11"/>
  <c r="AB10" i="11" s="1"/>
  <c r="Y10" i="11"/>
  <c r="Z10" i="11" s="1"/>
  <c r="Y17" i="11"/>
  <c r="Z17" i="11" s="1"/>
  <c r="AA17" i="11"/>
  <c r="AB17" i="11" s="1"/>
  <c r="AA18" i="11"/>
  <c r="AB18" i="11" s="1"/>
  <c r="Y18" i="11"/>
  <c r="Z18" i="11" s="1"/>
  <c r="M11" i="8"/>
  <c r="N11" i="8" s="1"/>
  <c r="P11" i="8"/>
  <c r="Q11" i="8" s="1"/>
  <c r="Y9" i="4"/>
  <c r="Z9" i="4" s="1"/>
  <c r="AA9" i="4"/>
  <c r="AB9" i="4" s="1"/>
  <c r="Y21" i="11"/>
  <c r="Z21" i="11" s="1"/>
  <c r="AA21" i="11"/>
  <c r="AB21" i="11" s="1"/>
  <c r="AA26" i="12"/>
  <c r="AB26" i="12" s="1"/>
  <c r="Y26" i="12"/>
  <c r="Z26" i="12" s="1"/>
  <c r="Y15" i="4"/>
  <c r="Z15" i="4" s="1"/>
  <c r="AA15" i="4"/>
  <c r="AB15" i="4" s="1"/>
  <c r="Y24" i="11"/>
  <c r="Z24" i="11" s="1"/>
  <c r="AA24" i="11"/>
  <c r="AB24" i="11" s="1"/>
  <c r="Y23" i="12"/>
  <c r="Z23" i="12" s="1"/>
  <c r="AA23" i="12"/>
  <c r="AB23" i="12" s="1"/>
  <c r="J17" i="10"/>
  <c r="K17" i="10" s="1"/>
  <c r="M17" i="10"/>
  <c r="N17" i="10" s="1"/>
  <c r="P14" i="8"/>
  <c r="Q14" i="8" s="1"/>
  <c r="M14" i="8"/>
  <c r="N14" i="8" s="1"/>
  <c r="P12" i="8"/>
  <c r="Q12" i="8" s="1"/>
  <c r="M12" i="8"/>
  <c r="N12" i="8" s="1"/>
  <c r="AA12" i="12"/>
  <c r="AB12" i="12" s="1"/>
  <c r="Y12" i="12"/>
  <c r="Z12" i="12" s="1"/>
  <c r="AA15" i="12"/>
  <c r="AB15" i="12" s="1"/>
  <c r="Y15" i="12"/>
  <c r="Z15" i="12" s="1"/>
  <c r="AA10" i="12"/>
  <c r="AB10" i="12" s="1"/>
  <c r="Y10" i="12"/>
  <c r="Z10" i="12" s="1"/>
  <c r="Y25" i="4"/>
  <c r="Z25" i="4" s="1"/>
  <c r="AA25" i="4"/>
  <c r="AB25" i="4" s="1"/>
  <c r="AA8" i="4"/>
  <c r="AB8" i="4" s="1"/>
  <c r="Y8" i="4"/>
  <c r="Z8" i="4" s="1"/>
  <c r="Y14" i="4"/>
  <c r="Z14" i="4" s="1"/>
  <c r="AA14" i="4"/>
  <c r="AB14" i="4" s="1"/>
  <c r="J14" i="10"/>
  <c r="K14" i="10" s="1"/>
  <c r="M14" i="10"/>
  <c r="N14" i="10" s="1"/>
  <c r="J15" i="10"/>
  <c r="K15" i="10" s="1"/>
  <c r="M15" i="10"/>
  <c r="N15" i="10" s="1"/>
  <c r="K12" i="9"/>
  <c r="L12" i="9" s="1"/>
  <c r="N12" i="9"/>
  <c r="O12" i="9" s="1"/>
  <c r="AA22" i="11"/>
  <c r="AB22" i="11" s="1"/>
  <c r="Y22" i="11"/>
  <c r="Z22" i="11" s="1"/>
  <c r="AA7" i="11"/>
  <c r="AB7" i="11" s="1"/>
  <c r="Y7" i="11"/>
  <c r="Z7" i="11" s="1"/>
  <c r="AA19" i="11"/>
  <c r="AB19" i="11" s="1"/>
  <c r="Y19" i="11"/>
  <c r="Z19" i="11" s="1"/>
  <c r="Y28" i="4"/>
  <c r="Z28" i="4" s="1"/>
  <c r="AA28" i="4"/>
  <c r="AB28" i="4" s="1"/>
  <c r="J11" i="10"/>
  <c r="K11" i="10" s="1"/>
  <c r="M11" i="10"/>
  <c r="N11" i="10" s="1"/>
  <c r="Y14" i="12"/>
  <c r="Z14" i="12" s="1"/>
  <c r="AA14" i="12"/>
  <c r="AB14" i="12" s="1"/>
  <c r="M21" i="10"/>
  <c r="N21" i="10" s="1"/>
  <c r="J21" i="10"/>
  <c r="K21" i="10" s="1"/>
  <c r="Y16" i="4"/>
  <c r="Z16" i="4" s="1"/>
  <c r="AA16" i="4"/>
  <c r="AB16" i="4" s="1"/>
  <c r="K8" i="9"/>
  <c r="L8" i="9" s="1"/>
  <c r="N8" i="9"/>
  <c r="O8" i="9" s="1"/>
  <c r="P16" i="8"/>
  <c r="Q16" i="8" s="1"/>
  <c r="M16" i="8"/>
  <c r="N16" i="8" s="1"/>
  <c r="AA11" i="12"/>
  <c r="AB11" i="12" s="1"/>
  <c r="Y11" i="12"/>
  <c r="Z11" i="12" s="1"/>
  <c r="Y17" i="12"/>
  <c r="Z17" i="12" s="1"/>
  <c r="AA17" i="12"/>
  <c r="AB17" i="12" s="1"/>
  <c r="Y18" i="4"/>
  <c r="Z18" i="4" s="1"/>
  <c r="AA18" i="4"/>
  <c r="AB18" i="4" s="1"/>
  <c r="Y10" i="4"/>
  <c r="Z10" i="4" s="1"/>
  <c r="AA10" i="4"/>
  <c r="AB10" i="4" s="1"/>
  <c r="M26" i="10"/>
  <c r="N26" i="10" s="1"/>
  <c r="J26" i="10"/>
  <c r="K26" i="10" s="1"/>
  <c r="J16" i="10"/>
  <c r="K16" i="10" s="1"/>
  <c r="M16" i="10"/>
  <c r="N16" i="10" s="1"/>
  <c r="J13" i="10"/>
  <c r="K13" i="10" s="1"/>
  <c r="M13" i="10"/>
  <c r="N13" i="10" s="1"/>
  <c r="N10" i="9"/>
  <c r="O10" i="9" s="1"/>
  <c r="K10" i="9"/>
  <c r="L10" i="9" s="1"/>
  <c r="AA23" i="11"/>
  <c r="AB23" i="11" s="1"/>
  <c r="Y23" i="11"/>
  <c r="Z23" i="11" s="1"/>
  <c r="Y27" i="11"/>
  <c r="Z27" i="11" s="1"/>
  <c r="AA27" i="11"/>
  <c r="AB27" i="11" s="1"/>
  <c r="AA20" i="11"/>
  <c r="AB20" i="11" s="1"/>
  <c r="Y20" i="11"/>
  <c r="Z20" i="11" s="1"/>
  <c r="P9" i="8"/>
  <c r="Q9" i="8" s="1"/>
  <c r="M9" i="8"/>
  <c r="N9" i="8" s="1"/>
  <c r="J22" i="10"/>
  <c r="K22" i="10" s="1"/>
  <c r="M22" i="10"/>
  <c r="N22" i="10" s="1"/>
  <c r="N7" i="9"/>
  <c r="O7" i="9" s="1"/>
  <c r="K7" i="9"/>
  <c r="L7" i="9" s="1"/>
  <c r="P15" i="8"/>
  <c r="Q15" i="8" s="1"/>
  <c r="M15" i="8"/>
  <c r="N15" i="8" s="1"/>
  <c r="Y23" i="4"/>
  <c r="Z23" i="4" s="1"/>
  <c r="AA23" i="4"/>
  <c r="AB23" i="4" s="1"/>
  <c r="N13" i="9"/>
  <c r="O13" i="9" s="1"/>
  <c r="K13" i="9"/>
  <c r="L13" i="9" s="1"/>
  <c r="AA18" i="12"/>
  <c r="AB18" i="12" s="1"/>
  <c r="Y18" i="12"/>
  <c r="Z18" i="12" s="1"/>
  <c r="Y12" i="4"/>
  <c r="Z12" i="4" s="1"/>
  <c r="AA12" i="4"/>
  <c r="AB12" i="4" s="1"/>
  <c r="N14" i="9"/>
  <c r="O14" i="9" s="1"/>
  <c r="K14" i="9"/>
  <c r="L14" i="9" s="1"/>
  <c r="P18" i="8"/>
  <c r="Q18" i="8" s="1"/>
  <c r="M18" i="8"/>
  <c r="N18" i="8" s="1"/>
  <c r="Y7" i="12"/>
  <c r="Z7" i="12" s="1"/>
  <c r="AA7" i="12"/>
  <c r="AB7" i="12" s="1"/>
  <c r="P8" i="8"/>
  <c r="Q8" i="8" s="1"/>
  <c r="M8" i="8"/>
  <c r="N8" i="8" s="1"/>
  <c r="P10" i="8"/>
  <c r="Q10" i="8" s="1"/>
  <c r="M10" i="8"/>
  <c r="N10" i="8" s="1"/>
  <c r="Y13" i="12"/>
  <c r="Z13" i="12" s="1"/>
  <c r="AA13" i="12"/>
  <c r="AB13" i="12" s="1"/>
  <c r="AA25" i="12"/>
  <c r="AB25" i="12" s="1"/>
  <c r="Y25" i="12"/>
  <c r="Z25" i="12" s="1"/>
  <c r="Y21" i="12"/>
  <c r="Z21" i="12" s="1"/>
  <c r="AA21" i="12"/>
  <c r="AB21" i="12" s="1"/>
  <c r="AA27" i="4"/>
  <c r="AB27" i="4" s="1"/>
  <c r="Y27" i="4"/>
  <c r="Z27" i="4" s="1"/>
  <c r="AA24" i="4"/>
  <c r="AB24" i="4" s="1"/>
  <c r="Y24" i="4"/>
  <c r="Z24" i="4" s="1"/>
  <c r="M12" i="10"/>
  <c r="N12" i="10" s="1"/>
  <c r="J12" i="10"/>
  <c r="K12" i="10" s="1"/>
  <c r="J20" i="10"/>
  <c r="K20" i="10" s="1"/>
  <c r="M20" i="10"/>
  <c r="N20" i="10" s="1"/>
  <c r="J7" i="10"/>
  <c r="K7" i="10" s="1"/>
  <c r="M7" i="10"/>
  <c r="N7" i="10" s="1"/>
  <c r="N11" i="9"/>
  <c r="O11" i="9" s="1"/>
  <c r="K11" i="9"/>
  <c r="L11" i="9" s="1"/>
  <c r="AA9" i="11"/>
  <c r="AB9" i="11" s="1"/>
  <c r="Y9" i="11"/>
  <c r="Z9" i="11" s="1"/>
  <c r="AA28" i="11"/>
  <c r="AB28" i="11" s="1"/>
  <c r="Y28" i="11"/>
  <c r="Z28" i="11" s="1"/>
  <c r="AA11" i="11"/>
  <c r="AB11" i="11" s="1"/>
  <c r="Y11" i="11"/>
  <c r="Z11" i="11" s="1"/>
  <c r="Z7" i="13"/>
  <c r="AA7" i="13" s="1"/>
  <c r="AB7" i="13"/>
  <c r="AC7" i="13" s="1"/>
  <c r="AA28" i="12"/>
  <c r="AB28" i="12" s="1"/>
  <c r="Y28" i="12"/>
  <c r="Z28" i="12" s="1"/>
  <c r="M9" i="10"/>
  <c r="N9" i="10" s="1"/>
  <c r="J9" i="10"/>
  <c r="K9" i="10" s="1"/>
  <c r="AA15" i="11"/>
  <c r="AB15" i="11" s="1"/>
  <c r="Y15" i="11"/>
  <c r="Z15" i="11" s="1"/>
  <c r="AA11" i="4"/>
  <c r="AB11" i="4" s="1"/>
  <c r="Y11" i="4"/>
  <c r="Z11" i="4" s="1"/>
  <c r="N15" i="9"/>
  <c r="O15" i="9" s="1"/>
  <c r="K15" i="9"/>
  <c r="L15" i="9" s="1"/>
  <c r="M17" i="8"/>
  <c r="N17" i="8" s="1"/>
  <c r="P17" i="8"/>
  <c r="Q17" i="8" s="1"/>
  <c r="M18" i="10"/>
  <c r="N18" i="10" s="1"/>
  <c r="J18" i="10"/>
  <c r="K18" i="10" s="1"/>
  <c r="AA14" i="11"/>
  <c r="AB14" i="11" s="1"/>
  <c r="Y14" i="11"/>
  <c r="Z14" i="11" s="1"/>
  <c r="P13" i="8"/>
  <c r="Q13" i="8" s="1"/>
  <c r="M13" i="8"/>
  <c r="N13" i="8" s="1"/>
  <c r="P7" i="8"/>
  <c r="Q7" i="8" s="1"/>
  <c r="M7" i="8"/>
  <c r="N7" i="8" s="1"/>
  <c r="Y27" i="12"/>
  <c r="Z27" i="12" s="1"/>
  <c r="AA27" i="12"/>
  <c r="AB27" i="12" s="1"/>
  <c r="Y9" i="12"/>
  <c r="Z9" i="12" s="1"/>
  <c r="AA9" i="12"/>
  <c r="AB9" i="12" s="1"/>
  <c r="AA19" i="4"/>
  <c r="AB19" i="4" s="1"/>
  <c r="Y19" i="4"/>
  <c r="Z19" i="4" s="1"/>
  <c r="Y21" i="4"/>
  <c r="Z21" i="4" s="1"/>
  <c r="AA21" i="4"/>
  <c r="AB21" i="4" s="1"/>
  <c r="AA17" i="4"/>
  <c r="AB17" i="4" s="1"/>
  <c r="Y17" i="4"/>
  <c r="Z17" i="4" s="1"/>
  <c r="M24" i="10"/>
  <c r="N24" i="10" s="1"/>
  <c r="J24" i="10"/>
  <c r="K24" i="10" s="1"/>
  <c r="M10" i="10"/>
  <c r="N10" i="10" s="1"/>
  <c r="J10" i="10"/>
  <c r="K10" i="10" s="1"/>
  <c r="M23" i="10"/>
  <c r="N23" i="10" s="1"/>
  <c r="J23" i="10"/>
  <c r="K23" i="10" s="1"/>
  <c r="N9" i="9"/>
  <c r="O9" i="9" s="1"/>
  <c r="K9" i="9"/>
  <c r="L9" i="9" s="1"/>
  <c r="Y16" i="11"/>
  <c r="Z16" i="11" s="1"/>
  <c r="AA16" i="11"/>
  <c r="AB16" i="11" s="1"/>
  <c r="AA25" i="11"/>
  <c r="AB25" i="11" s="1"/>
  <c r="Y25" i="11"/>
  <c r="Z25" i="11" s="1"/>
  <c r="AA12" i="11"/>
  <c r="AB12" i="11" s="1"/>
  <c r="Y12" i="11"/>
  <c r="Z12" i="11" s="1"/>
  <c r="AB8" i="13"/>
  <c r="AC8" i="13" s="1"/>
  <c r="Z8" i="13"/>
  <c r="AA8" i="13" s="1"/>
</calcChain>
</file>

<file path=xl/sharedStrings.xml><?xml version="1.0" encoding="utf-8"?>
<sst xmlns="http://schemas.openxmlformats.org/spreadsheetml/2006/main" count="481" uniqueCount="161">
  <si>
    <t>Domestic Service</t>
  </si>
  <si>
    <t>Empolyees</t>
  </si>
  <si>
    <t>General Service</t>
  </si>
  <si>
    <t>Large Power</t>
  </si>
  <si>
    <t>Secondary Voltage Power</t>
  </si>
  <si>
    <t>Time of Use</t>
  </si>
  <si>
    <t>Street Lights</t>
  </si>
  <si>
    <t>Customer Rate Class</t>
  </si>
  <si>
    <t>Energy Sales 
(kWh)</t>
  </si>
  <si>
    <t>Total Energy Sales</t>
  </si>
  <si>
    <t>Loss Factor</t>
  </si>
  <si>
    <t>Energy Sales Weighted by Losses
(kWh)</t>
  </si>
  <si>
    <t>Energy Rate  After Losses</t>
  </si>
  <si>
    <t>Revenue Check</t>
  </si>
  <si>
    <t>Rate Design Revenue Requirement</t>
  </si>
  <si>
    <t>Customer Charge</t>
  </si>
  <si>
    <t>Energy Charge</t>
  </si>
  <si>
    <t>Fuel Charge</t>
  </si>
  <si>
    <t>CETR</t>
  </si>
  <si>
    <t>Lookup</t>
  </si>
  <si>
    <t>Class 1</t>
  </si>
  <si>
    <t>Class 2</t>
  </si>
  <si>
    <t>Class 3</t>
  </si>
  <si>
    <t>THE BARBADOS LIGHT &amp; POWER CO. LTD.</t>
  </si>
  <si>
    <t>__</t>
  </si>
  <si>
    <t>TARIFFS</t>
  </si>
  <si>
    <t>COMPONENTS</t>
  </si>
  <si>
    <t>PROPOSED</t>
  </si>
  <si>
    <t xml:space="preserve"> INTERIM</t>
  </si>
  <si>
    <t>RATES</t>
  </si>
  <si>
    <t>Parameters</t>
  </si>
  <si>
    <t>Monthly</t>
  </si>
  <si>
    <t>Customer Charge ($/month)</t>
  </si>
  <si>
    <t>0-150kWh</t>
  </si>
  <si>
    <t>151-500kWh</t>
  </si>
  <si>
    <t>Over 500 kWh</t>
  </si>
  <si>
    <t>__DOMESTIC  SERVICE</t>
  </si>
  <si>
    <t>DOMESTIC  SERVICE</t>
  </si>
  <si>
    <t>Demand Charge ($/kVA)</t>
  </si>
  <si>
    <t>Not applicable</t>
  </si>
  <si>
    <t>---------</t>
  </si>
  <si>
    <t>Domestic_Non-Renewables_0 to 150 kWh</t>
  </si>
  <si>
    <t>Domestic</t>
  </si>
  <si>
    <t>Non-Renewables</t>
  </si>
  <si>
    <t>0 to 150 kWh</t>
  </si>
  <si>
    <t>Base Energy Charge ($/kWh)</t>
  </si>
  <si>
    <t>0-150 kWh, per kWh</t>
  </si>
  <si>
    <t>Domestic_Non-Renewables_151 to 500 kWh</t>
  </si>
  <si>
    <t>151 to 500 kWh</t>
  </si>
  <si>
    <t>Next 350 kWh, per kWh</t>
  </si>
  <si>
    <t>Domestic_Non-Renewables_501 to 1,500 kWh</t>
  </si>
  <si>
    <t>501 to 1,500 kWh</t>
  </si>
  <si>
    <t>Next 1,000 kWh, per kWh</t>
  </si>
  <si>
    <t>Domestic_Non-Renewables_&gt; 1,500 kWh</t>
  </si>
  <si>
    <t>&gt; 1,500 kWh</t>
  </si>
  <si>
    <t>Over 1,500 kWh, per kWh.</t>
  </si>
  <si>
    <t>Employee</t>
  </si>
  <si>
    <t>__EMPLOYEE</t>
  </si>
  <si>
    <t>EMPLOYEE</t>
  </si>
  <si>
    <t>Employee_Non-Renewables_0 to 150 kWh</t>
  </si>
  <si>
    <t>Employee_Non-Renewables_151 to 500 kWh</t>
  </si>
  <si>
    <t>Employee_Non-Renewables_501 to 1,500 kWh</t>
  </si>
  <si>
    <t>Employee_Non-Renewables_&gt; 1,500 kWh</t>
  </si>
  <si>
    <t>Over 1,500 kWh, per kWh</t>
  </si>
  <si>
    <t>0-100kWh</t>
  </si>
  <si>
    <t>101-500kWh</t>
  </si>
  <si>
    <t>__GENERAL  SERVICE</t>
  </si>
  <si>
    <t>GENERAL  SERVICE</t>
  </si>
  <si>
    <t>General Service_Non-Renewables_0 to 100 kWh</t>
  </si>
  <si>
    <t>0 to 100 kWh</t>
  </si>
  <si>
    <t>0-100 kWh, per kWh</t>
  </si>
  <si>
    <t>General Service_Non-Renewables_101 to 500 kWh</t>
  </si>
  <si>
    <t>101 to 500 kWh</t>
  </si>
  <si>
    <t>Next 400 kWh, per kWh</t>
  </si>
  <si>
    <t>General Service_Non-Renewables_501 to 1,500 kWh</t>
  </si>
  <si>
    <t>General Service_Non-Renewables_&gt; 1,500 kWh</t>
  </si>
  <si>
    <t>Each service</t>
  </si>
  <si>
    <t>__SECONDARY VOLTAGE POWER</t>
  </si>
  <si>
    <t>SECONDARY VOLTAGE POWER</t>
  </si>
  <si>
    <t>per kVA</t>
  </si>
  <si>
    <t>Secondary Voltage_Non-Renewables_No Bands</t>
  </si>
  <si>
    <t>Secondary Voltage</t>
  </si>
  <si>
    <t>No Bands</t>
  </si>
  <si>
    <t>All kWh, per kWh.</t>
  </si>
  <si>
    <t>__LARGE POWER</t>
  </si>
  <si>
    <t>LARGE POWER</t>
  </si>
  <si>
    <t>Large Power_Non-Renewables_No Bands</t>
  </si>
  <si>
    <t>Time of Use Pilot Tariff</t>
  </si>
  <si>
    <t>On-Peak, per kWh.</t>
  </si>
  <si>
    <t>Off-Peak, per kWh.</t>
  </si>
  <si>
    <t>Streetlights</t>
  </si>
  <si>
    <t>Each 50 Watt HPS light</t>
  </si>
  <si>
    <t>Each 70 Watt HPS light</t>
  </si>
  <si>
    <t>Each 100 Watt HPS light</t>
  </si>
  <si>
    <t>CETR ($/kWh)</t>
  </si>
  <si>
    <t>Total Bill</t>
  </si>
  <si>
    <t>Usage (kWh)</t>
  </si>
  <si>
    <t>Cumulative Proportion of Customers</t>
  </si>
  <si>
    <t>Base Rate</t>
  </si>
  <si>
    <t>Sub Total</t>
  </si>
  <si>
    <t>VAT</t>
  </si>
  <si>
    <t xml:space="preserve"> Proposed 
$ Change</t>
  </si>
  <si>
    <t>Proposed 
% Change</t>
  </si>
  <si>
    <t>Customers' Bill at Current Interim Rates</t>
  </si>
  <si>
    <t>Current &amp; Proposed Rates</t>
  </si>
  <si>
    <t>Tariff Blocks</t>
  </si>
  <si>
    <t>Energy Charge ($/kWh)</t>
  </si>
  <si>
    <t>VAT Charge</t>
  </si>
  <si>
    <t>Fuel Charge ($/kWh)</t>
  </si>
  <si>
    <t xml:space="preserve">From </t>
  </si>
  <si>
    <t>To</t>
  </si>
  <si>
    <t>Next</t>
  </si>
  <si>
    <t>Current Rates</t>
  </si>
  <si>
    <t>Customers' Bill at Proposed CETR Rate</t>
  </si>
  <si>
    <t>Demand Charge
($/kVA)</t>
  </si>
  <si>
    <t>Customer Charge:</t>
  </si>
  <si>
    <t>Monthly Charge</t>
  </si>
  <si>
    <t>ON-PEAK</t>
  </si>
  <si>
    <t>OFF-PEAK</t>
  </si>
  <si>
    <t>All Demand</t>
  </si>
  <si>
    <t>Fuel Charge:</t>
  </si>
  <si>
    <t>Base Energy Charge: ($/kWh)</t>
  </si>
  <si>
    <t>Demand Charge:($/kVA)</t>
  </si>
  <si>
    <t>kWh/kVA Band</t>
  </si>
  <si>
    <t>Under 25 kWh/KVA</t>
  </si>
  <si>
    <t>25 - 50 kWh/KVA</t>
  </si>
  <si>
    <t>50 - 100 kWh/KVA</t>
  </si>
  <si>
    <t>100 - 200 kWh/KVA</t>
  </si>
  <si>
    <t>200 - 300 kWh/KVA</t>
  </si>
  <si>
    <t>300- 400 kWh/KVA</t>
  </si>
  <si>
    <t>400- 500 kWh/KVA</t>
  </si>
  <si>
    <t>500- 600 kWh/KVA</t>
  </si>
  <si>
    <t>600- 700 kWh/KVA</t>
  </si>
  <si>
    <t>700- 800 kWh/KVA</t>
  </si>
  <si>
    <t>800- 900 kWh/KVA</t>
  </si>
  <si>
    <t>Over 900 kWh/KVA</t>
  </si>
  <si>
    <t>Number of Customers</t>
  </si>
  <si>
    <t>Share of Customers</t>
  </si>
  <si>
    <t>Average Monthly Demand (kVA)</t>
  </si>
  <si>
    <t>Average Monthly Usage (kWh)</t>
  </si>
  <si>
    <t>Current Bill</t>
  </si>
  <si>
    <t>$ Change Impact</t>
  </si>
  <si>
    <t>% Change Impact</t>
  </si>
  <si>
    <t xml:space="preserve">kWh/kVA </t>
  </si>
  <si>
    <t>Average kWh Peak</t>
  </si>
  <si>
    <t>Average kWh Off Peak</t>
  </si>
  <si>
    <t>LED 21 Watts/bulb</t>
  </si>
  <si>
    <t>LED 49 Watts/bulb</t>
  </si>
  <si>
    <t>CETR Rate per Revenue Requirement Year 
($/kWh)</t>
  </si>
  <si>
    <t>Current Charges</t>
  </si>
  <si>
    <t>CETR Rate</t>
  </si>
  <si>
    <t>Total BESS Investments</t>
  </si>
  <si>
    <t>CETR Bill Impacts</t>
  </si>
  <si>
    <t>Current</t>
  </si>
  <si>
    <t>Total Investments</t>
  </si>
  <si>
    <t>Barbados Light &amp; Power</t>
  </si>
  <si>
    <t>Clean Energy Transistion Plan Project 1</t>
  </si>
  <si>
    <t>Distributed Energy Resources Aggregation &amp; Control Platform</t>
  </si>
  <si>
    <t>Rate Design</t>
  </si>
  <si>
    <t>CETR Rate  Before Losses</t>
  </si>
  <si>
    <t>CETR Rate  After Losses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</si>
</sst>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7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&quot;$&quot;* #,##0.0000_);_(&quot;$&quot;* \(#,##0.0000\);_(&quot;$&quot;* &quot;-&quot;??_);_(@_)"/>
    <numFmt numFmtId="165" formatCode="0.0%"/>
    <numFmt numFmtId="166" formatCode="_(&quot;$&quot;* #,##0.00000_);_(&quot;$&quot;* \(#,##0.00000\);_(&quot;$&quot;* &quot;-&quot;??_);_(@_)"/>
    <numFmt numFmtId="167" formatCode="_(&quot;$&quot;* #,##0.0_);_(&quot;$&quot;* \(#,##0.0\);_(&quot;$&quot;* &quot;-&quot;??_);_(@_)"/>
    <numFmt numFmtId="168" formatCode="_(&quot;$&quot;* #,##0_);_(&quot;$&quot;* \(#,##0\);_(&quot;$&quot;* &quot;-&quot;??_);_(@_)"/>
    <numFmt numFmtId="169" formatCode="&quot;$&quot;#,##0.000"/>
    <numFmt numFmtId="170" formatCode="[$-409]mmmm\-yy;@"/>
    <numFmt numFmtId="171" formatCode="&quot;$&quot;#,##0.00"/>
    <numFmt numFmtId="172" formatCode="&quot;$&quot;#,##0"/>
    <numFmt numFmtId="173" formatCode="&quot;$&quot;#,##0.0000"/>
    <numFmt numFmtId="174" formatCode="0.0000"/>
    <numFmt numFmtId="175" formatCode="_(* #,##0_);_(* \(#,##0\);_(* &quot;-&quot;??_);_(@_)"/>
    <numFmt numFmtId="176" formatCode="_(&quot;$&quot;* #,##0.00000_);_(&quot;$&quot;* \(#,##0.00000\);_(&quot;$&quot;* &quot;-&quot;?????_);_(@_)"/>
    <numFmt numFmtId="177" formatCode="_(&quot;$&quot;* #,##0.000_);_(&quot;$&quot;* \(#,##0.000\);_(&quot;$&quot;* &quot;-&quot;??_);_(@_)"/>
    <numFmt numFmtId="180" formatCode="0.000%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rgb="FF0066CC"/>
      <name val="Calibri"/>
      <family val="2"/>
      <scheme val="minor"/>
    </font>
    <font>
      <sz val="11"/>
      <name val="Calibri"/>
      <family val="2"/>
      <scheme val="minor"/>
    </font>
    <font>
      <b/>
      <u/>
      <sz val="11"/>
      <name val="Calibri"/>
      <family val="2"/>
      <scheme val="minor"/>
    </font>
    <font>
      <b/>
      <i/>
      <u/>
      <sz val="11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name val="Calibri"/>
      <family val="2"/>
      <scheme val="minor"/>
    </font>
    <font>
      <b/>
      <i/>
      <sz val="11"/>
      <name val="Calibri"/>
      <family val="2"/>
      <scheme val="minor"/>
    </font>
    <font>
      <sz val="10"/>
      <name val="Arial"/>
      <family val="2"/>
    </font>
    <font>
      <sz val="11"/>
      <color theme="2" tint="-0.499984740745262"/>
      <name val="Calibri"/>
      <family val="2"/>
      <scheme val="minor"/>
    </font>
    <font>
      <b/>
      <sz val="11"/>
      <color theme="2" tint="-0.499984740745262"/>
      <name val="Calibri"/>
      <family val="2"/>
      <scheme val="minor"/>
    </font>
    <font>
      <b/>
      <sz val="11"/>
      <color rgb="FFFFFFFF"/>
      <name val="Calibri"/>
      <family val="2"/>
    </font>
    <font>
      <sz val="11"/>
      <color rgb="FFFFFFFF"/>
      <name val="Calibri"/>
      <family val="2"/>
    </font>
    <font>
      <b/>
      <sz val="11"/>
      <color theme="1"/>
      <name val="Arial"/>
      <family val="2"/>
    </font>
    <font>
      <b/>
      <sz val="11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-0.249977111117893"/>
        <bgColor indexed="64"/>
      </patternFill>
    </fill>
  </fills>
  <borders count="4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theme="0"/>
      </bottom>
      <diagonal/>
    </border>
    <border>
      <left/>
      <right style="thin">
        <color indexed="64"/>
      </right>
      <top/>
      <bottom style="thin">
        <color theme="0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theme="0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</cellStyleXfs>
  <cellXfs count="294">
    <xf numFmtId="0" fontId="0" fillId="0" borderId="0" xfId="0"/>
    <xf numFmtId="3" fontId="0" fillId="0" borderId="0" xfId="0" applyNumberFormat="1"/>
    <xf numFmtId="0" fontId="2" fillId="0" borderId="0" xfId="0" applyFont="1"/>
    <xf numFmtId="44" fontId="0" fillId="0" borderId="0" xfId="0" applyNumberFormat="1"/>
    <xf numFmtId="3" fontId="2" fillId="0" borderId="2" xfId="0" applyNumberFormat="1" applyFont="1" applyBorder="1"/>
    <xf numFmtId="164" fontId="2" fillId="0" borderId="0" xfId="0" applyNumberFormat="1" applyFont="1"/>
    <xf numFmtId="165" fontId="0" fillId="0" borderId="0" xfId="3" applyNumberFormat="1" applyFont="1"/>
    <xf numFmtId="164" fontId="0" fillId="0" borderId="0" xfId="2" applyNumberFormat="1" applyFont="1"/>
    <xf numFmtId="0" fontId="2" fillId="0" borderId="1" xfId="0" applyFont="1" applyBorder="1"/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horizontal="center" wrapText="1"/>
    </xf>
    <xf numFmtId="3" fontId="2" fillId="0" borderId="0" xfId="0" applyNumberFormat="1" applyFont="1"/>
    <xf numFmtId="164" fontId="0" fillId="0" borderId="0" xfId="2" applyNumberFormat="1" applyFont="1" applyBorder="1"/>
    <xf numFmtId="164" fontId="0" fillId="0" borderId="0" xfId="0" applyNumberFormat="1"/>
    <xf numFmtId="168" fontId="2" fillId="2" borderId="0" xfId="2" applyNumberFormat="1" applyFont="1" applyFill="1"/>
    <xf numFmtId="0" fontId="3" fillId="3" borderId="0" xfId="0" applyFont="1" applyFill="1"/>
    <xf numFmtId="0" fontId="4" fillId="3" borderId="0" xfId="0" applyFont="1" applyFill="1"/>
    <xf numFmtId="0" fontId="0" fillId="0" borderId="0" xfId="0" applyAlignment="1">
      <alignment horizontal="right"/>
    </xf>
    <xf numFmtId="0" fontId="5" fillId="0" borderId="0" xfId="0" applyFont="1"/>
    <xf numFmtId="0" fontId="6" fillId="0" borderId="0" xfId="0" applyFont="1" applyAlignment="1">
      <alignment horizontal="left"/>
    </xf>
    <xf numFmtId="169" fontId="0" fillId="0" borderId="0" xfId="0" applyNumberFormat="1" applyAlignment="1">
      <alignment horizontal="center"/>
    </xf>
    <xf numFmtId="0" fontId="0" fillId="0" borderId="0" xfId="0" applyAlignment="1">
      <alignment horizontal="left"/>
    </xf>
    <xf numFmtId="169" fontId="4" fillId="0" borderId="0" xfId="0" applyNumberFormat="1" applyFont="1" applyAlignment="1">
      <alignment horizontal="right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left"/>
    </xf>
    <xf numFmtId="169" fontId="0" fillId="0" borderId="6" xfId="0" applyNumberFormat="1" applyBorder="1" applyAlignment="1">
      <alignment horizontal="center"/>
    </xf>
    <xf numFmtId="0" fontId="5" fillId="0" borderId="7" xfId="0" applyFont="1" applyBorder="1"/>
    <xf numFmtId="0" fontId="5" fillId="0" borderId="8" xfId="0" applyFont="1" applyBorder="1"/>
    <xf numFmtId="0" fontId="5" fillId="0" borderId="9" xfId="0" applyFont="1" applyBorder="1"/>
    <xf numFmtId="0" fontId="5" fillId="0" borderId="7" xfId="0" applyFont="1" applyBorder="1" applyAlignment="1">
      <alignment horizontal="center"/>
    </xf>
    <xf numFmtId="0" fontId="5" fillId="0" borderId="8" xfId="0" applyFont="1" applyBorder="1" applyAlignment="1">
      <alignment horizontal="center"/>
    </xf>
    <xf numFmtId="170" fontId="5" fillId="0" borderId="9" xfId="0" applyNumberFormat="1" applyFont="1" applyBorder="1" applyAlignment="1">
      <alignment horizontal="center"/>
    </xf>
    <xf numFmtId="0" fontId="4" fillId="0" borderId="7" xfId="0" applyFont="1" applyBorder="1"/>
    <xf numFmtId="0" fontId="4" fillId="0" borderId="8" xfId="0" applyFont="1" applyBorder="1"/>
    <xf numFmtId="0" fontId="5" fillId="0" borderId="9" xfId="0" applyFont="1" applyBorder="1" applyAlignment="1">
      <alignment horizontal="center"/>
    </xf>
    <xf numFmtId="169" fontId="5" fillId="0" borderId="10" xfId="0" applyNumberFormat="1" applyFont="1" applyBorder="1" applyAlignment="1">
      <alignment horizontal="center"/>
    </xf>
    <xf numFmtId="0" fontId="4" fillId="0" borderId="11" xfId="0" applyFont="1" applyBorder="1"/>
    <xf numFmtId="0" fontId="4" fillId="0" borderId="12" xfId="0" applyFont="1" applyBorder="1"/>
    <xf numFmtId="0" fontId="4" fillId="0" borderId="13" xfId="0" applyFont="1" applyBorder="1" applyAlignment="1">
      <alignment horizontal="left"/>
    </xf>
    <xf numFmtId="0" fontId="4" fillId="0" borderId="9" xfId="0" applyFont="1" applyBorder="1" applyAlignment="1">
      <alignment horizontal="left"/>
    </xf>
    <xf numFmtId="169" fontId="4" fillId="0" borderId="10" xfId="0" applyNumberFormat="1" applyFont="1" applyBorder="1" applyAlignment="1">
      <alignment horizontal="center"/>
    </xf>
    <xf numFmtId="0" fontId="7" fillId="0" borderId="8" xfId="0" applyFont="1" applyBorder="1"/>
    <xf numFmtId="171" fontId="4" fillId="0" borderId="10" xfId="0" applyNumberFormat="1" applyFont="1" applyBorder="1" applyAlignment="1">
      <alignment horizontal="center"/>
    </xf>
    <xf numFmtId="0" fontId="4" fillId="0" borderId="9" xfId="0" applyFont="1" applyBorder="1"/>
    <xf numFmtId="172" fontId="4" fillId="0" borderId="10" xfId="0" quotePrefix="1" applyNumberFormat="1" applyFont="1" applyBorder="1" applyAlignment="1">
      <alignment horizontal="center"/>
    </xf>
    <xf numFmtId="169" fontId="8" fillId="0" borderId="10" xfId="0" applyNumberFormat="1" applyFont="1" applyBorder="1" applyAlignment="1">
      <alignment horizontal="center"/>
    </xf>
    <xf numFmtId="0" fontId="4" fillId="0" borderId="11" xfId="0" applyFont="1" applyBorder="1" applyAlignment="1">
      <alignment horizontal="left" wrapText="1"/>
    </xf>
    <xf numFmtId="0" fontId="7" fillId="0" borderId="12" xfId="0" applyFont="1" applyBorder="1"/>
    <xf numFmtId="172" fontId="4" fillId="0" borderId="10" xfId="0" applyNumberFormat="1" applyFont="1" applyBorder="1" applyAlignment="1">
      <alignment horizontal="center"/>
    </xf>
    <xf numFmtId="0" fontId="5" fillId="0" borderId="7" xfId="0" applyFont="1" applyBorder="1" applyAlignment="1">
      <alignment horizontal="left"/>
    </xf>
    <xf numFmtId="172" fontId="4" fillId="0" borderId="8" xfId="0" quotePrefix="1" applyNumberFormat="1" applyFont="1" applyBorder="1" applyAlignment="1">
      <alignment horizontal="center"/>
    </xf>
    <xf numFmtId="171" fontId="4" fillId="0" borderId="8" xfId="0" applyNumberFormat="1" applyFont="1" applyBorder="1" applyAlignment="1">
      <alignment horizontal="center"/>
    </xf>
    <xf numFmtId="4" fontId="0" fillId="0" borderId="0" xfId="0" applyNumberFormat="1" applyAlignment="1">
      <alignment horizontal="right"/>
    </xf>
    <xf numFmtId="174" fontId="0" fillId="0" borderId="0" xfId="0" applyNumberFormat="1" applyAlignment="1">
      <alignment horizontal="right"/>
    </xf>
    <xf numFmtId="0" fontId="4" fillId="0" borderId="18" xfId="0" applyFont="1" applyBorder="1" applyAlignment="1">
      <alignment horizontal="left"/>
    </xf>
    <xf numFmtId="0" fontId="4" fillId="0" borderId="17" xfId="0" applyFont="1" applyBorder="1"/>
    <xf numFmtId="0" fontId="5" fillId="0" borderId="16" xfId="0" applyFont="1" applyBorder="1"/>
    <xf numFmtId="169" fontId="4" fillId="0" borderId="19" xfId="0" applyNumberFormat="1" applyFont="1" applyBorder="1" applyAlignment="1">
      <alignment horizontal="center"/>
    </xf>
    <xf numFmtId="173" fontId="4" fillId="0" borderId="10" xfId="0" applyNumberFormat="1" applyFont="1" applyBorder="1" applyAlignment="1">
      <alignment horizontal="center"/>
    </xf>
    <xf numFmtId="169" fontId="4" fillId="0" borderId="8" xfId="0" applyNumberFormat="1" applyFont="1" applyBorder="1" applyAlignment="1">
      <alignment horizontal="center"/>
    </xf>
    <xf numFmtId="0" fontId="7" fillId="0" borderId="13" xfId="0" applyFont="1" applyBorder="1" applyAlignment="1">
      <alignment horizontal="left"/>
    </xf>
    <xf numFmtId="172" fontId="7" fillId="0" borderId="14" xfId="0" quotePrefix="1" applyNumberFormat="1" applyFont="1" applyBorder="1" applyAlignment="1">
      <alignment horizontal="center"/>
    </xf>
    <xf numFmtId="169" fontId="9" fillId="0" borderId="14" xfId="0" applyNumberFormat="1" applyFont="1" applyBorder="1" applyAlignment="1">
      <alignment horizontal="center"/>
    </xf>
    <xf numFmtId="0" fontId="0" fillId="0" borderId="9" xfId="0" applyBorder="1" applyAlignment="1">
      <alignment horizontal="left"/>
    </xf>
    <xf numFmtId="0" fontId="0" fillId="0" borderId="10" xfId="0" applyBorder="1"/>
    <xf numFmtId="0" fontId="0" fillId="4" borderId="0" xfId="0" applyFill="1"/>
    <xf numFmtId="44" fontId="0" fillId="4" borderId="0" xfId="0" applyNumberFormat="1" applyFill="1"/>
    <xf numFmtId="0" fontId="0" fillId="5" borderId="0" xfId="0" applyFill="1"/>
    <xf numFmtId="0" fontId="2" fillId="4" borderId="0" xfId="0" applyFont="1" applyFill="1"/>
    <xf numFmtId="0" fontId="0" fillId="6" borderId="8" xfId="0" applyFill="1" applyBorder="1"/>
    <xf numFmtId="0" fontId="0" fillId="6" borderId="0" xfId="0" applyFill="1"/>
    <xf numFmtId="0" fontId="2" fillId="6" borderId="0" xfId="0" applyFont="1" applyFill="1" applyAlignment="1">
      <alignment horizontal="center" wrapText="1"/>
    </xf>
    <xf numFmtId="0" fontId="2" fillId="6" borderId="0" xfId="0" applyFont="1" applyFill="1" applyAlignment="1">
      <alignment horizontal="center"/>
    </xf>
    <xf numFmtId="9" fontId="0" fillId="6" borderId="0" xfId="3" applyFont="1" applyFill="1" applyBorder="1" applyAlignment="1">
      <alignment horizontal="center"/>
    </xf>
    <xf numFmtId="44" fontId="0" fillId="4" borderId="0" xfId="0" applyNumberFormat="1" applyFill="1" applyAlignment="1">
      <alignment horizontal="center"/>
    </xf>
    <xf numFmtId="0" fontId="2" fillId="6" borderId="8" xfId="0" applyFont="1" applyFill="1" applyBorder="1" applyAlignment="1">
      <alignment horizontal="left" wrapText="1"/>
    </xf>
    <xf numFmtId="175" fontId="10" fillId="4" borderId="8" xfId="1" applyNumberFormat="1" applyFont="1" applyFill="1" applyBorder="1" applyAlignment="1">
      <alignment horizontal="left"/>
    </xf>
    <xf numFmtId="9" fontId="10" fillId="4" borderId="0" xfId="3" applyFont="1" applyFill="1" applyBorder="1" applyAlignment="1">
      <alignment horizontal="center"/>
    </xf>
    <xf numFmtId="44" fontId="0" fillId="4" borderId="0" xfId="2" applyFont="1" applyFill="1" applyBorder="1"/>
    <xf numFmtId="44" fontId="2" fillId="4" borderId="0" xfId="0" applyNumberFormat="1" applyFont="1" applyFill="1"/>
    <xf numFmtId="167" fontId="2" fillId="4" borderId="0" xfId="0" applyNumberFormat="1" applyFont="1" applyFill="1"/>
    <xf numFmtId="9" fontId="2" fillId="4" borderId="0" xfId="0" applyNumberFormat="1" applyFont="1" applyFill="1"/>
    <xf numFmtId="37" fontId="11" fillId="4" borderId="8" xfId="0" applyNumberFormat="1" applyFont="1" applyFill="1" applyBorder="1" applyAlignment="1">
      <alignment horizontal="center"/>
    </xf>
    <xf numFmtId="175" fontId="10" fillId="7" borderId="8" xfId="1" applyNumberFormat="1" applyFont="1" applyFill="1" applyBorder="1" applyAlignment="1">
      <alignment horizontal="left"/>
    </xf>
    <xf numFmtId="9" fontId="10" fillId="7" borderId="0" xfId="3" applyFont="1" applyFill="1" applyBorder="1" applyAlignment="1">
      <alignment horizontal="center"/>
    </xf>
    <xf numFmtId="44" fontId="0" fillId="7" borderId="0" xfId="2" applyFont="1" applyFill="1" applyBorder="1"/>
    <xf numFmtId="44" fontId="2" fillId="7" borderId="0" xfId="0" applyNumberFormat="1" applyFont="1" applyFill="1"/>
    <xf numFmtId="44" fontId="0" fillId="7" borderId="0" xfId="0" applyNumberFormat="1" applyFill="1"/>
    <xf numFmtId="167" fontId="2" fillId="7" borderId="0" xfId="0" applyNumberFormat="1" applyFont="1" applyFill="1"/>
    <xf numFmtId="37" fontId="11" fillId="7" borderId="8" xfId="0" applyNumberFormat="1" applyFont="1" applyFill="1" applyBorder="1" applyAlignment="1">
      <alignment horizontal="center"/>
    </xf>
    <xf numFmtId="175" fontId="10" fillId="7" borderId="25" xfId="1" applyNumberFormat="1" applyFont="1" applyFill="1" applyBorder="1" applyAlignment="1">
      <alignment horizontal="left"/>
    </xf>
    <xf numFmtId="9" fontId="10" fillId="7" borderId="26" xfId="3" applyFont="1" applyFill="1" applyBorder="1" applyAlignment="1">
      <alignment horizontal="center"/>
    </xf>
    <xf numFmtId="44" fontId="0" fillId="7" borderId="26" xfId="2" applyFont="1" applyFill="1" applyBorder="1"/>
    <xf numFmtId="44" fontId="2" fillId="7" borderId="26" xfId="0" applyNumberFormat="1" applyFont="1" applyFill="1" applyBorder="1"/>
    <xf numFmtId="44" fontId="0" fillId="7" borderId="26" xfId="0" applyNumberFormat="1" applyFill="1" applyBorder="1"/>
    <xf numFmtId="167" fontId="2" fillId="7" borderId="26" xfId="0" applyNumberFormat="1" applyFont="1" applyFill="1" applyBorder="1"/>
    <xf numFmtId="175" fontId="10" fillId="4" borderId="0" xfId="1" applyNumberFormat="1" applyFont="1" applyFill="1"/>
    <xf numFmtId="44" fontId="0" fillId="4" borderId="0" xfId="2" applyFont="1" applyFill="1"/>
    <xf numFmtId="0" fontId="0" fillId="8" borderId="0" xfId="0" applyFill="1"/>
    <xf numFmtId="0" fontId="2" fillId="5" borderId="28" xfId="0" applyFont="1" applyFill="1" applyBorder="1" applyAlignment="1">
      <alignment horizontal="center" wrapText="1"/>
    </xf>
    <xf numFmtId="0" fontId="2" fillId="4" borderId="0" xfId="0" applyFont="1" applyFill="1" applyAlignment="1">
      <alignment horizontal="center" wrapText="1"/>
    </xf>
    <xf numFmtId="0" fontId="2" fillId="5" borderId="28" xfId="0" applyFont="1" applyFill="1" applyBorder="1"/>
    <xf numFmtId="165" fontId="0" fillId="4" borderId="28" xfId="3" applyNumberFormat="1" applyFont="1" applyFill="1" applyBorder="1" applyAlignment="1">
      <alignment horizontal="center"/>
    </xf>
    <xf numFmtId="176" fontId="0" fillId="4" borderId="28" xfId="0" applyNumberFormat="1" applyFill="1" applyBorder="1" applyAlignment="1">
      <alignment horizontal="center"/>
    </xf>
    <xf numFmtId="176" fontId="0" fillId="4" borderId="0" xfId="0" applyNumberFormat="1" applyFill="1"/>
    <xf numFmtId="0" fontId="0" fillId="4" borderId="28" xfId="0" applyFill="1" applyBorder="1" applyAlignment="1">
      <alignment horizontal="center"/>
    </xf>
    <xf numFmtId="0" fontId="0" fillId="4" borderId="28" xfId="0" applyFill="1" applyBorder="1"/>
    <xf numFmtId="3" fontId="0" fillId="4" borderId="28" xfId="0" applyNumberFormat="1" applyFill="1" applyBorder="1"/>
    <xf numFmtId="44" fontId="0" fillId="4" borderId="28" xfId="0" applyNumberFormat="1" applyFill="1" applyBorder="1" applyAlignment="1">
      <alignment horizontal="center"/>
    </xf>
    <xf numFmtId="176" fontId="0" fillId="4" borderId="0" xfId="0" applyNumberFormat="1" applyFill="1" applyAlignment="1">
      <alignment horizontal="center"/>
    </xf>
    <xf numFmtId="0" fontId="0" fillId="4" borderId="0" xfId="0" applyFill="1" applyAlignment="1">
      <alignment horizontal="center"/>
    </xf>
    <xf numFmtId="9" fontId="0" fillId="4" borderId="0" xfId="3" applyFont="1" applyFill="1" applyBorder="1" applyAlignment="1">
      <alignment horizontal="center"/>
    </xf>
    <xf numFmtId="167" fontId="2" fillId="4" borderId="26" xfId="0" applyNumberFormat="1" applyFont="1" applyFill="1" applyBorder="1"/>
    <xf numFmtId="37" fontId="11" fillId="7" borderId="12" xfId="0" applyNumberFormat="1" applyFont="1" applyFill="1" applyBorder="1" applyAlignment="1">
      <alignment horizontal="center"/>
    </xf>
    <xf numFmtId="166" fontId="0" fillId="4" borderId="0" xfId="0" applyNumberFormat="1" applyFill="1" applyAlignment="1">
      <alignment horizontal="center"/>
    </xf>
    <xf numFmtId="165" fontId="0" fillId="4" borderId="23" xfId="3" applyNumberFormat="1" applyFont="1" applyFill="1" applyBorder="1" applyAlignment="1">
      <alignment horizontal="center"/>
    </xf>
    <xf numFmtId="0" fontId="2" fillId="5" borderId="18" xfId="0" applyFont="1" applyFill="1" applyBorder="1" applyAlignment="1">
      <alignment horizontal="center" wrapText="1"/>
    </xf>
    <xf numFmtId="44" fontId="0" fillId="4" borderId="28" xfId="2" applyFont="1" applyFill="1" applyBorder="1"/>
    <xf numFmtId="0" fontId="2" fillId="5" borderId="28" xfId="4" applyFont="1" applyFill="1" applyBorder="1"/>
    <xf numFmtId="3" fontId="2" fillId="5" borderId="28" xfId="0" applyNumberFormat="1" applyFont="1" applyFill="1" applyBorder="1" applyAlignment="1">
      <alignment horizontal="left" indent="1"/>
    </xf>
    <xf numFmtId="0" fontId="2" fillId="5" borderId="28" xfId="4" applyFont="1" applyFill="1" applyBorder="1" applyAlignment="1">
      <alignment horizontal="left" indent="2"/>
    </xf>
    <xf numFmtId="0" fontId="2" fillId="5" borderId="28" xfId="4" applyFont="1" applyFill="1" applyBorder="1" applyAlignment="1">
      <alignment horizontal="left" indent="1"/>
    </xf>
    <xf numFmtId="0" fontId="2" fillId="5" borderId="28" xfId="4" applyFont="1" applyFill="1" applyBorder="1" applyAlignment="1">
      <alignment horizontal="left"/>
    </xf>
    <xf numFmtId="0" fontId="2" fillId="5" borderId="13" xfId="4" applyFont="1" applyFill="1" applyBorder="1"/>
    <xf numFmtId="0" fontId="2" fillId="4" borderId="28" xfId="0" applyFont="1" applyFill="1" applyBorder="1"/>
    <xf numFmtId="44" fontId="0" fillId="4" borderId="28" xfId="2" applyFont="1" applyFill="1" applyBorder="1" applyAlignment="1">
      <alignment horizontal="center"/>
    </xf>
    <xf numFmtId="0" fontId="1" fillId="4" borderId="28" xfId="4" applyFill="1" applyBorder="1" applyAlignment="1">
      <alignment horizontal="center"/>
    </xf>
    <xf numFmtId="166" fontId="0" fillId="4" borderId="28" xfId="2" applyNumberFormat="1" applyFont="1" applyFill="1" applyBorder="1" applyAlignment="1">
      <alignment horizontal="center"/>
    </xf>
    <xf numFmtId="165" fontId="0" fillId="5" borderId="28" xfId="3" applyNumberFormat="1" applyFont="1" applyFill="1" applyBorder="1" applyAlignment="1">
      <alignment horizontal="center"/>
    </xf>
    <xf numFmtId="176" fontId="0" fillId="5" borderId="28" xfId="0" applyNumberFormat="1" applyFill="1" applyBorder="1" applyAlignment="1">
      <alignment horizontal="center"/>
    </xf>
    <xf numFmtId="0" fontId="2" fillId="5" borderId="21" xfId="0" applyFont="1" applyFill="1" applyBorder="1"/>
    <xf numFmtId="0" fontId="0" fillId="5" borderId="23" xfId="0" applyFill="1" applyBorder="1"/>
    <xf numFmtId="0" fontId="0" fillId="4" borderId="8" xfId="0" applyFill="1" applyBorder="1"/>
    <xf numFmtId="0" fontId="0" fillId="7" borderId="12" xfId="0" applyFill="1" applyBorder="1"/>
    <xf numFmtId="0" fontId="0" fillId="7" borderId="1" xfId="0" applyFill="1" applyBorder="1"/>
    <xf numFmtId="44" fontId="0" fillId="7" borderId="1" xfId="0" applyNumberFormat="1" applyFill="1" applyBorder="1"/>
    <xf numFmtId="0" fontId="0" fillId="4" borderId="1" xfId="0" applyFill="1" applyBorder="1"/>
    <xf numFmtId="0" fontId="0" fillId="4" borderId="7" xfId="0" applyFill="1" applyBorder="1"/>
    <xf numFmtId="165" fontId="0" fillId="4" borderId="0" xfId="3" applyNumberFormat="1" applyFont="1" applyFill="1" applyBorder="1" applyAlignment="1">
      <alignment horizontal="center"/>
    </xf>
    <xf numFmtId="1" fontId="0" fillId="4" borderId="0" xfId="3" applyNumberFormat="1" applyFont="1" applyFill="1" applyBorder="1" applyAlignment="1">
      <alignment horizontal="center"/>
    </xf>
    <xf numFmtId="3" fontId="0" fillId="4" borderId="0" xfId="3" applyNumberFormat="1" applyFont="1" applyFill="1" applyBorder="1" applyAlignment="1">
      <alignment horizontal="center"/>
    </xf>
    <xf numFmtId="0" fontId="13" fillId="9" borderId="24" xfId="0" applyFont="1" applyFill="1" applyBorder="1" applyAlignment="1">
      <alignment horizontal="center" wrapText="1" readingOrder="1"/>
    </xf>
    <xf numFmtId="3" fontId="0" fillId="4" borderId="0" xfId="0" applyNumberFormat="1" applyFill="1" applyAlignment="1">
      <alignment horizontal="center"/>
    </xf>
    <xf numFmtId="3" fontId="0" fillId="4" borderId="1" xfId="0" applyNumberFormat="1" applyFill="1" applyBorder="1" applyAlignment="1">
      <alignment horizontal="center"/>
    </xf>
    <xf numFmtId="165" fontId="0" fillId="4" borderId="1" xfId="3" applyNumberFormat="1" applyFont="1" applyFill="1" applyBorder="1" applyAlignment="1">
      <alignment horizontal="center"/>
    </xf>
    <xf numFmtId="1" fontId="0" fillId="4" borderId="1" xfId="3" applyNumberFormat="1" applyFont="1" applyFill="1" applyBorder="1" applyAlignment="1">
      <alignment horizontal="center"/>
    </xf>
    <xf numFmtId="3" fontId="0" fillId="4" borderId="1" xfId="3" applyNumberFormat="1" applyFont="1" applyFill="1" applyBorder="1" applyAlignment="1">
      <alignment horizontal="center"/>
    </xf>
    <xf numFmtId="168" fontId="0" fillId="4" borderId="1" xfId="0" applyNumberFormat="1" applyFill="1" applyBorder="1" applyAlignment="1">
      <alignment horizontal="center"/>
    </xf>
    <xf numFmtId="0" fontId="0" fillId="4" borderId="12" xfId="0" applyFill="1" applyBorder="1"/>
    <xf numFmtId="0" fontId="14" fillId="4" borderId="0" xfId="0" applyFont="1" applyFill="1" applyAlignment="1">
      <alignment horizontal="center" wrapText="1" readingOrder="1"/>
    </xf>
    <xf numFmtId="3" fontId="0" fillId="4" borderId="8" xfId="0" applyNumberFormat="1" applyFill="1" applyBorder="1" applyAlignment="1">
      <alignment horizontal="center"/>
    </xf>
    <xf numFmtId="3" fontId="0" fillId="4" borderId="12" xfId="0" applyNumberFormat="1" applyFill="1" applyBorder="1" applyAlignment="1">
      <alignment horizontal="center"/>
    </xf>
    <xf numFmtId="44" fontId="0" fillId="4" borderId="1" xfId="0" applyNumberFormat="1" applyFill="1" applyBorder="1" applyAlignment="1">
      <alignment horizontal="center"/>
    </xf>
    <xf numFmtId="0" fontId="13" fillId="11" borderId="21" xfId="0" applyFont="1" applyFill="1" applyBorder="1" applyAlignment="1">
      <alignment horizontal="center" wrapText="1" readingOrder="1"/>
    </xf>
    <xf numFmtId="0" fontId="13" fillId="11" borderId="22" xfId="0" applyFont="1" applyFill="1" applyBorder="1" applyAlignment="1">
      <alignment horizontal="center" wrapText="1" readingOrder="1"/>
    </xf>
    <xf numFmtId="0" fontId="2" fillId="4" borderId="0" xfId="0" applyFont="1" applyFill="1" applyAlignment="1">
      <alignment horizontal="left"/>
    </xf>
    <xf numFmtId="168" fontId="2" fillId="0" borderId="0" xfId="2" applyNumberFormat="1" applyFont="1" applyFill="1"/>
    <xf numFmtId="0" fontId="2" fillId="0" borderId="0" xfId="0" applyFont="1" applyAlignment="1">
      <alignment wrapText="1"/>
    </xf>
    <xf numFmtId="3" fontId="0" fillId="0" borderId="0" xfId="0" applyNumberFormat="1" applyAlignment="1">
      <alignment horizontal="center"/>
    </xf>
    <xf numFmtId="3" fontId="2" fillId="0" borderId="2" xfId="0" applyNumberFormat="1" applyFont="1" applyBorder="1" applyAlignment="1">
      <alignment horizontal="center"/>
    </xf>
    <xf numFmtId="44" fontId="0" fillId="0" borderId="0" xfId="0" applyNumberFormat="1" applyAlignment="1">
      <alignment horizontal="center"/>
    </xf>
    <xf numFmtId="164" fontId="0" fillId="0" borderId="0" xfId="2" applyNumberFormat="1" applyFont="1" applyAlignment="1"/>
    <xf numFmtId="164" fontId="0" fillId="0" borderId="1" xfId="2" applyNumberFormat="1" applyFont="1" applyBorder="1" applyAlignment="1"/>
    <xf numFmtId="0" fontId="2" fillId="5" borderId="13" xfId="0" applyFont="1" applyFill="1" applyBorder="1" applyAlignment="1">
      <alignment horizontal="center" wrapText="1"/>
    </xf>
    <xf numFmtId="0" fontId="2" fillId="5" borderId="0" xfId="0" applyFont="1" applyFill="1" applyAlignment="1">
      <alignment horizontal="center"/>
    </xf>
    <xf numFmtId="0" fontId="2" fillId="5" borderId="8" xfId="0" applyFont="1" applyFill="1" applyBorder="1" applyAlignment="1">
      <alignment horizontal="center"/>
    </xf>
    <xf numFmtId="0" fontId="2" fillId="5" borderId="24" xfId="0" applyFont="1" applyFill="1" applyBorder="1" applyAlignment="1">
      <alignment horizontal="center"/>
    </xf>
    <xf numFmtId="168" fontId="0" fillId="0" borderId="0" xfId="0" applyNumberFormat="1"/>
    <xf numFmtId="164" fontId="0" fillId="0" borderId="1" xfId="0" applyNumberFormat="1" applyBorder="1"/>
    <xf numFmtId="0" fontId="15" fillId="0" borderId="0" xfId="0" applyFont="1" applyAlignment="1">
      <alignment wrapText="1"/>
    </xf>
    <xf numFmtId="44" fontId="0" fillId="4" borderId="26" xfId="0" applyNumberFormat="1" applyFill="1" applyBorder="1"/>
    <xf numFmtId="37" fontId="12" fillId="7" borderId="25" xfId="0" applyNumberFormat="1" applyFont="1" applyFill="1" applyBorder="1" applyAlignment="1">
      <alignment horizontal="center"/>
    </xf>
    <xf numFmtId="0" fontId="2" fillId="6" borderId="28" xfId="0" applyFont="1" applyFill="1" applyBorder="1" applyAlignment="1">
      <alignment horizontal="center" wrapText="1"/>
    </xf>
    <xf numFmtId="0" fontId="2" fillId="6" borderId="13" xfId="0" applyFont="1" applyFill="1" applyBorder="1" applyAlignment="1">
      <alignment horizontal="center" wrapText="1"/>
    </xf>
    <xf numFmtId="0" fontId="0" fillId="6" borderId="9" xfId="0" applyFill="1" applyBorder="1"/>
    <xf numFmtId="0" fontId="0" fillId="6" borderId="18" xfId="0" applyFill="1" applyBorder="1"/>
    <xf numFmtId="44" fontId="2" fillId="7" borderId="1" xfId="0" applyNumberFormat="1" applyFont="1" applyFill="1" applyBorder="1"/>
    <xf numFmtId="9" fontId="2" fillId="4" borderId="26" xfId="0" applyNumberFormat="1" applyFont="1" applyFill="1" applyBorder="1"/>
    <xf numFmtId="37" fontId="11" fillId="7" borderId="25" xfId="0" applyNumberFormat="1" applyFont="1" applyFill="1" applyBorder="1" applyAlignment="1">
      <alignment horizontal="center"/>
    </xf>
    <xf numFmtId="0" fontId="2" fillId="6" borderId="0" xfId="0" applyFont="1" applyFill="1" applyAlignment="1">
      <alignment horizontal="left" wrapText="1"/>
    </xf>
    <xf numFmtId="0" fontId="13" fillId="9" borderId="0" xfId="0" applyFont="1" applyFill="1" applyAlignment="1">
      <alignment horizontal="center" wrapText="1" readingOrder="1"/>
    </xf>
    <xf numFmtId="168" fontId="0" fillId="4" borderId="0" xfId="0" applyNumberFormat="1" applyFill="1" applyAlignment="1">
      <alignment horizontal="center"/>
    </xf>
    <xf numFmtId="168" fontId="2" fillId="4" borderId="0" xfId="0" applyNumberFormat="1" applyFont="1" applyFill="1" applyAlignment="1">
      <alignment horizontal="center"/>
    </xf>
    <xf numFmtId="168" fontId="2" fillId="4" borderId="1" xfId="0" applyNumberFormat="1" applyFont="1" applyFill="1" applyBorder="1" applyAlignment="1">
      <alignment horizontal="center"/>
    </xf>
    <xf numFmtId="0" fontId="13" fillId="10" borderId="0" xfId="0" applyFont="1" applyFill="1" applyAlignment="1">
      <alignment horizontal="center" wrapText="1" readingOrder="1"/>
    </xf>
    <xf numFmtId="0" fontId="13" fillId="10" borderId="0" xfId="0" applyFont="1" applyFill="1" applyAlignment="1">
      <alignment wrapText="1" readingOrder="1"/>
    </xf>
    <xf numFmtId="0" fontId="13" fillId="10" borderId="6" xfId="0" applyFont="1" applyFill="1" applyBorder="1" applyAlignment="1">
      <alignment wrapText="1" readingOrder="1"/>
    </xf>
    <xf numFmtId="0" fontId="13" fillId="10" borderId="34" xfId="0" applyFont="1" applyFill="1" applyBorder="1" applyAlignment="1">
      <alignment horizontal="center" wrapText="1" readingOrder="1"/>
    </xf>
    <xf numFmtId="172" fontId="0" fillId="4" borderId="0" xfId="0" applyNumberFormat="1" applyFill="1" applyAlignment="1">
      <alignment horizontal="center"/>
    </xf>
    <xf numFmtId="0" fontId="0" fillId="4" borderId="15" xfId="0" applyFill="1" applyBorder="1"/>
    <xf numFmtId="1" fontId="0" fillId="4" borderId="35" xfId="3" applyNumberFormat="1" applyFont="1" applyFill="1" applyBorder="1" applyAlignment="1">
      <alignment horizontal="center"/>
    </xf>
    <xf numFmtId="165" fontId="0" fillId="4" borderId="35" xfId="3" applyNumberFormat="1" applyFont="1" applyFill="1" applyBorder="1" applyAlignment="1">
      <alignment horizontal="center"/>
    </xf>
    <xf numFmtId="3" fontId="0" fillId="4" borderId="35" xfId="3" applyNumberFormat="1" applyFont="1" applyFill="1" applyBorder="1" applyAlignment="1">
      <alignment horizontal="center"/>
    </xf>
    <xf numFmtId="172" fontId="0" fillId="4" borderId="35" xfId="0" applyNumberFormat="1" applyFill="1" applyBorder="1" applyAlignment="1">
      <alignment horizontal="center"/>
    </xf>
    <xf numFmtId="165" fontId="1" fillId="4" borderId="18" xfId="4" applyNumberFormat="1" applyFill="1" applyBorder="1" applyAlignment="1">
      <alignment horizontal="center"/>
    </xf>
    <xf numFmtId="0" fontId="2" fillId="4" borderId="28" xfId="0" applyFont="1" applyFill="1" applyBorder="1" applyAlignment="1">
      <alignment horizontal="center"/>
    </xf>
    <xf numFmtId="0" fontId="13" fillId="11" borderId="0" xfId="0" applyFont="1" applyFill="1" applyAlignment="1">
      <alignment horizontal="center" wrapText="1" readingOrder="1"/>
    </xf>
    <xf numFmtId="0" fontId="13" fillId="11" borderId="24" xfId="0" applyFont="1" applyFill="1" applyBorder="1" applyAlignment="1">
      <alignment horizontal="center" wrapText="1" readingOrder="1"/>
    </xf>
    <xf numFmtId="44" fontId="2" fillId="4" borderId="0" xfId="0" applyNumberFormat="1" applyFont="1" applyFill="1" applyAlignment="1">
      <alignment horizontal="center"/>
    </xf>
    <xf numFmtId="44" fontId="2" fillId="4" borderId="1" xfId="0" applyNumberFormat="1" applyFont="1" applyFill="1" applyBorder="1" applyAlignment="1">
      <alignment horizontal="center"/>
    </xf>
    <xf numFmtId="1" fontId="7" fillId="0" borderId="14" xfId="0" applyNumberFormat="1" applyFont="1" applyBorder="1" applyAlignment="1">
      <alignment horizontal="center"/>
    </xf>
    <xf numFmtId="169" fontId="7" fillId="0" borderId="14" xfId="0" applyNumberFormat="1" applyFont="1" applyBorder="1" applyAlignment="1">
      <alignment horizontal="center"/>
    </xf>
    <xf numFmtId="172" fontId="7" fillId="0" borderId="12" xfId="0" quotePrefix="1" applyNumberFormat="1" applyFont="1" applyBorder="1" applyAlignment="1">
      <alignment horizontal="center"/>
    </xf>
    <xf numFmtId="169" fontId="4" fillId="0" borderId="37" xfId="0" applyNumberFormat="1" applyFont="1" applyBorder="1" applyAlignment="1">
      <alignment horizontal="center"/>
    </xf>
    <xf numFmtId="172" fontId="4" fillId="0" borderId="38" xfId="0" quotePrefix="1" applyNumberFormat="1" applyFont="1" applyBorder="1" applyAlignment="1">
      <alignment horizontal="center"/>
    </xf>
    <xf numFmtId="171" fontId="4" fillId="0" borderId="38" xfId="0" applyNumberFormat="1" applyFont="1" applyBorder="1" applyAlignment="1">
      <alignment horizontal="center"/>
    </xf>
    <xf numFmtId="169" fontId="4" fillId="0" borderId="38" xfId="0" applyNumberFormat="1" applyFont="1" applyBorder="1" applyAlignment="1">
      <alignment horizontal="center"/>
    </xf>
    <xf numFmtId="169" fontId="9" fillId="0" borderId="39" xfId="0" applyNumberFormat="1" applyFont="1" applyBorder="1" applyAlignment="1">
      <alignment horizontal="center"/>
    </xf>
    <xf numFmtId="0" fontId="0" fillId="0" borderId="40" xfId="0" applyBorder="1"/>
    <xf numFmtId="0" fontId="5" fillId="0" borderId="38" xfId="0" applyFont="1" applyBorder="1"/>
    <xf numFmtId="0" fontId="5" fillId="0" borderId="38" xfId="0" applyFont="1" applyBorder="1" applyAlignment="1">
      <alignment horizontal="center"/>
    </xf>
    <xf numFmtId="0" fontId="2" fillId="6" borderId="1" xfId="0" applyFont="1" applyFill="1" applyBorder="1" applyAlignment="1">
      <alignment horizontal="center"/>
    </xf>
    <xf numFmtId="0" fontId="2" fillId="6" borderId="1" xfId="0" applyFont="1" applyFill="1" applyBorder="1" applyAlignment="1">
      <alignment wrapText="1"/>
    </xf>
    <xf numFmtId="0" fontId="2" fillId="6" borderId="1" xfId="0" applyFont="1" applyFill="1" applyBorder="1"/>
    <xf numFmtId="0" fontId="13" fillId="11" borderId="30" xfId="0" applyFont="1" applyFill="1" applyBorder="1" applyAlignment="1">
      <alignment horizontal="center" wrapText="1" readingOrder="1"/>
    </xf>
    <xf numFmtId="0" fontId="13" fillId="9" borderId="30" xfId="0" applyFont="1" applyFill="1" applyBorder="1" applyAlignment="1">
      <alignment horizontal="center" wrapText="1" readingOrder="1"/>
    </xf>
    <xf numFmtId="0" fontId="13" fillId="10" borderId="30" xfId="0" applyFont="1" applyFill="1" applyBorder="1" applyAlignment="1">
      <alignment horizontal="center" wrapText="1" readingOrder="1"/>
    </xf>
    <xf numFmtId="0" fontId="16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0" fillId="0" borderId="0" xfId="0" applyAlignment="1">
      <alignment horizontal="center"/>
    </xf>
    <xf numFmtId="0" fontId="4" fillId="0" borderId="7" xfId="0" applyFont="1" applyBorder="1" applyAlignment="1">
      <alignment horizontal="left" wrapText="1"/>
    </xf>
    <xf numFmtId="0" fontId="5" fillId="0" borderId="7" xfId="0" applyFont="1" applyBorder="1" applyAlignment="1">
      <alignment horizontal="left" wrapText="1"/>
    </xf>
    <xf numFmtId="0" fontId="5" fillId="0" borderId="15" xfId="0" applyFont="1" applyBorder="1" applyAlignment="1">
      <alignment horizontal="left" wrapText="1"/>
    </xf>
    <xf numFmtId="0" fontId="4" fillId="0" borderId="11" xfId="0" applyFont="1" applyBorder="1" applyAlignment="1">
      <alignment horizontal="left" wrapText="1"/>
    </xf>
    <xf numFmtId="0" fontId="2" fillId="6" borderId="0" xfId="0" applyFont="1" applyFill="1" applyAlignment="1">
      <alignment horizontal="center" wrapText="1"/>
    </xf>
    <xf numFmtId="0" fontId="2" fillId="6" borderId="0" xfId="0" applyFont="1" applyFill="1" applyAlignment="1">
      <alignment horizontal="center"/>
    </xf>
    <xf numFmtId="0" fontId="2" fillId="6" borderId="28" xfId="0" applyFont="1" applyFill="1" applyBorder="1" applyAlignment="1">
      <alignment horizontal="center"/>
    </xf>
    <xf numFmtId="0" fontId="2" fillId="6" borderId="21" xfId="0" applyFont="1" applyFill="1" applyBorder="1" applyAlignment="1">
      <alignment horizontal="center" wrapText="1"/>
    </xf>
    <xf numFmtId="0" fontId="2" fillId="6" borderId="23" xfId="0" applyFont="1" applyFill="1" applyBorder="1" applyAlignment="1">
      <alignment horizontal="center" wrapText="1"/>
    </xf>
    <xf numFmtId="0" fontId="13" fillId="9" borderId="2" xfId="0" applyFont="1" applyFill="1" applyBorder="1" applyAlignment="1">
      <alignment horizontal="center" wrapText="1" readingOrder="1"/>
    </xf>
    <xf numFmtId="0" fontId="13" fillId="9" borderId="20" xfId="0" applyFont="1" applyFill="1" applyBorder="1" applyAlignment="1">
      <alignment horizontal="center" wrapText="1" readingOrder="1"/>
    </xf>
    <xf numFmtId="0" fontId="13" fillId="9" borderId="17" xfId="0" applyFont="1" applyFill="1" applyBorder="1" applyAlignment="1">
      <alignment horizontal="center" wrapText="1"/>
    </xf>
    <xf numFmtId="0" fontId="13" fillId="9" borderId="2" xfId="0" applyFont="1" applyFill="1" applyBorder="1" applyAlignment="1">
      <alignment horizontal="center" wrapText="1"/>
    </xf>
    <xf numFmtId="0" fontId="13" fillId="9" borderId="8" xfId="0" applyFont="1" applyFill="1" applyBorder="1" applyAlignment="1">
      <alignment horizontal="center" wrapText="1"/>
    </xf>
    <xf numFmtId="0" fontId="13" fillId="9" borderId="0" xfId="0" applyFont="1" applyFill="1" applyAlignment="1">
      <alignment horizontal="center" wrapText="1"/>
    </xf>
    <xf numFmtId="0" fontId="13" fillId="9" borderId="30" xfId="0" applyFont="1" applyFill="1" applyBorder="1" applyAlignment="1">
      <alignment horizontal="center" wrapText="1" readingOrder="1"/>
    </xf>
    <xf numFmtId="0" fontId="13" fillId="9" borderId="31" xfId="0" applyFont="1" applyFill="1" applyBorder="1" applyAlignment="1">
      <alignment horizontal="center" wrapText="1" readingOrder="1"/>
    </xf>
    <xf numFmtId="0" fontId="13" fillId="10" borderId="6" xfId="0" applyFont="1" applyFill="1" applyBorder="1" applyAlignment="1">
      <alignment horizontal="center" wrapText="1" readingOrder="1"/>
    </xf>
    <xf numFmtId="0" fontId="13" fillId="10" borderId="32" xfId="0" applyFont="1" applyFill="1" applyBorder="1" applyAlignment="1">
      <alignment horizontal="center" wrapText="1" readingOrder="1"/>
    </xf>
    <xf numFmtId="0" fontId="13" fillId="10" borderId="3" xfId="0" applyFont="1" applyFill="1" applyBorder="1" applyAlignment="1">
      <alignment horizontal="left" wrapText="1" readingOrder="1"/>
    </xf>
    <xf numFmtId="0" fontId="13" fillId="10" borderId="7" xfId="0" applyFont="1" applyFill="1" applyBorder="1" applyAlignment="1">
      <alignment horizontal="left" wrapText="1" readingOrder="1"/>
    </xf>
    <xf numFmtId="0" fontId="13" fillId="10" borderId="0" xfId="0" applyFont="1" applyFill="1" applyAlignment="1">
      <alignment horizontal="center" wrapText="1" readingOrder="1"/>
    </xf>
    <xf numFmtId="0" fontId="13" fillId="10" borderId="30" xfId="0" applyFont="1" applyFill="1" applyBorder="1" applyAlignment="1">
      <alignment horizontal="center" wrapText="1" readingOrder="1"/>
    </xf>
    <xf numFmtId="0" fontId="13" fillId="10" borderId="33" xfId="0" applyFont="1" applyFill="1" applyBorder="1" applyAlignment="1">
      <alignment horizontal="center" wrapText="1" readingOrder="1"/>
    </xf>
    <xf numFmtId="0" fontId="13" fillId="11" borderId="30" xfId="0" applyFont="1" applyFill="1" applyBorder="1" applyAlignment="1">
      <alignment horizontal="center" wrapText="1" readingOrder="1"/>
    </xf>
    <xf numFmtId="0" fontId="13" fillId="11" borderId="31" xfId="0" applyFont="1" applyFill="1" applyBorder="1" applyAlignment="1">
      <alignment horizontal="center" wrapText="1" readingOrder="1"/>
    </xf>
    <xf numFmtId="0" fontId="13" fillId="11" borderId="0" xfId="0" applyFont="1" applyFill="1" applyAlignment="1">
      <alignment horizontal="center" wrapText="1" readingOrder="1"/>
    </xf>
    <xf numFmtId="0" fontId="13" fillId="11" borderId="24" xfId="0" applyFont="1" applyFill="1" applyBorder="1" applyAlignment="1">
      <alignment horizontal="center" wrapText="1" readingOrder="1"/>
    </xf>
    <xf numFmtId="0" fontId="2" fillId="5" borderId="13" xfId="0" applyFont="1" applyFill="1" applyBorder="1" applyAlignment="1">
      <alignment horizontal="center"/>
    </xf>
    <xf numFmtId="0" fontId="2" fillId="5" borderId="21" xfId="0" applyFont="1" applyFill="1" applyBorder="1" applyAlignment="1">
      <alignment horizontal="center" wrapText="1"/>
    </xf>
    <xf numFmtId="0" fontId="2" fillId="5" borderId="22" xfId="0" applyFont="1" applyFill="1" applyBorder="1" applyAlignment="1">
      <alignment horizontal="center"/>
    </xf>
    <xf numFmtId="0" fontId="2" fillId="5" borderId="23" xfId="0" applyFont="1" applyFill="1" applyBorder="1" applyAlignment="1">
      <alignment horizontal="center"/>
    </xf>
    <xf numFmtId="0" fontId="2" fillId="5" borderId="8" xfId="0" applyFont="1" applyFill="1" applyBorder="1" applyAlignment="1">
      <alignment horizontal="center"/>
    </xf>
    <xf numFmtId="0" fontId="2" fillId="5" borderId="0" xfId="0" applyFont="1" applyFill="1" applyAlignment="1">
      <alignment horizontal="center"/>
    </xf>
    <xf numFmtId="0" fontId="2" fillId="5" borderId="24" xfId="0" applyFont="1" applyFill="1" applyBorder="1" applyAlignment="1">
      <alignment horizontal="center"/>
    </xf>
    <xf numFmtId="0" fontId="2" fillId="5" borderId="28" xfId="0" applyFont="1" applyFill="1" applyBorder="1" applyAlignment="1">
      <alignment horizontal="center"/>
    </xf>
    <xf numFmtId="0" fontId="2" fillId="5" borderId="1" xfId="0" applyFont="1" applyFill="1" applyBorder="1" applyAlignment="1">
      <alignment horizontal="center"/>
    </xf>
    <xf numFmtId="0" fontId="2" fillId="5" borderId="12" xfId="0" applyFont="1" applyFill="1" applyBorder="1" applyAlignment="1">
      <alignment horizontal="center"/>
    </xf>
    <xf numFmtId="0" fontId="2" fillId="5" borderId="29" xfId="0" applyFont="1" applyFill="1" applyBorder="1" applyAlignment="1">
      <alignment horizontal="center"/>
    </xf>
    <xf numFmtId="0" fontId="2" fillId="4" borderId="0" xfId="0" applyFont="1" applyFill="1" applyAlignment="1">
      <alignment horizontal="left" wrapText="1"/>
    </xf>
    <xf numFmtId="10" fontId="0" fillId="4" borderId="0" xfId="3" applyNumberFormat="1" applyFont="1" applyFill="1" applyBorder="1" applyAlignment="1">
      <alignment horizontal="center"/>
    </xf>
    <xf numFmtId="10" fontId="2" fillId="4" borderId="24" xfId="0" applyNumberFormat="1" applyFont="1" applyFill="1" applyBorder="1" applyAlignment="1">
      <alignment horizontal="center"/>
    </xf>
    <xf numFmtId="10" fontId="0" fillId="4" borderId="1" xfId="3" applyNumberFormat="1" applyFont="1" applyFill="1" applyBorder="1" applyAlignment="1">
      <alignment horizontal="center"/>
    </xf>
    <xf numFmtId="10" fontId="2" fillId="4" borderId="29" xfId="0" applyNumberFormat="1" applyFont="1" applyFill="1" applyBorder="1" applyAlignment="1">
      <alignment horizontal="center"/>
    </xf>
    <xf numFmtId="177" fontId="2" fillId="4" borderId="0" xfId="0" applyNumberFormat="1" applyFont="1" applyFill="1"/>
    <xf numFmtId="177" fontId="0" fillId="4" borderId="0" xfId="3" applyNumberFormat="1" applyFont="1" applyFill="1" applyAlignment="1">
      <alignment horizontal="center"/>
    </xf>
    <xf numFmtId="177" fontId="2" fillId="4" borderId="24" xfId="3" applyNumberFormat="1" applyFont="1" applyFill="1" applyBorder="1" applyAlignment="1">
      <alignment horizontal="center"/>
    </xf>
    <xf numFmtId="177" fontId="2" fillId="7" borderId="0" xfId="0" applyNumberFormat="1" applyFont="1" applyFill="1"/>
    <xf numFmtId="177" fontId="0" fillId="7" borderId="0" xfId="3" applyNumberFormat="1" applyFont="1" applyFill="1" applyAlignment="1">
      <alignment horizontal="center"/>
    </xf>
    <xf numFmtId="177" fontId="2" fillId="7" borderId="24" xfId="3" applyNumberFormat="1" applyFont="1" applyFill="1" applyBorder="1" applyAlignment="1">
      <alignment horizontal="center"/>
    </xf>
    <xf numFmtId="177" fontId="0" fillId="4" borderId="0" xfId="0" applyNumberFormat="1" applyFill="1"/>
    <xf numFmtId="177" fontId="0" fillId="7" borderId="0" xfId="0" applyNumberFormat="1" applyFill="1"/>
    <xf numFmtId="10" fontId="0" fillId="4" borderId="34" xfId="3" applyNumberFormat="1" applyFont="1" applyFill="1" applyBorder="1" applyAlignment="1">
      <alignment horizontal="center"/>
    </xf>
    <xf numFmtId="10" fontId="0" fillId="4" borderId="35" xfId="3" applyNumberFormat="1" applyFont="1" applyFill="1" applyBorder="1" applyAlignment="1">
      <alignment horizontal="center"/>
    </xf>
    <xf numFmtId="10" fontId="0" fillId="4" borderId="36" xfId="3" applyNumberFormat="1" applyFont="1" applyFill="1" applyBorder="1" applyAlignment="1">
      <alignment horizontal="center"/>
    </xf>
    <xf numFmtId="10" fontId="2" fillId="4" borderId="24" xfId="3" applyNumberFormat="1" applyFont="1" applyFill="1" applyBorder="1" applyAlignment="1">
      <alignment horizontal="center"/>
    </xf>
    <xf numFmtId="10" fontId="2" fillId="4" borderId="29" xfId="3" applyNumberFormat="1" applyFont="1" applyFill="1" applyBorder="1" applyAlignment="1">
      <alignment horizontal="center"/>
    </xf>
    <xf numFmtId="10" fontId="0" fillId="4" borderId="0" xfId="3" applyNumberFormat="1" applyFont="1" applyFill="1" applyAlignment="1">
      <alignment horizontal="center"/>
    </xf>
    <xf numFmtId="10" fontId="0" fillId="7" borderId="0" xfId="3" applyNumberFormat="1" applyFont="1" applyFill="1" applyAlignment="1">
      <alignment horizontal="center"/>
    </xf>
    <xf numFmtId="10" fontId="2" fillId="7" borderId="24" xfId="3" applyNumberFormat="1" applyFont="1" applyFill="1" applyBorder="1" applyAlignment="1">
      <alignment horizontal="center"/>
    </xf>
    <xf numFmtId="10" fontId="0" fillId="7" borderId="26" xfId="3" applyNumberFormat="1" applyFont="1" applyFill="1" applyBorder="1" applyAlignment="1">
      <alignment horizontal="center"/>
    </xf>
    <xf numFmtId="10" fontId="2" fillId="7" borderId="27" xfId="3" applyNumberFormat="1" applyFont="1" applyFill="1" applyBorder="1" applyAlignment="1">
      <alignment horizontal="center"/>
    </xf>
    <xf numFmtId="10" fontId="0" fillId="7" borderId="1" xfId="3" applyNumberFormat="1" applyFont="1" applyFill="1" applyBorder="1" applyAlignment="1">
      <alignment horizontal="center"/>
    </xf>
    <xf numFmtId="10" fontId="2" fillId="7" borderId="29" xfId="3" applyNumberFormat="1" applyFont="1" applyFill="1" applyBorder="1" applyAlignment="1">
      <alignment horizontal="center"/>
    </xf>
    <xf numFmtId="180" fontId="0" fillId="4" borderId="0" xfId="3" applyNumberFormat="1" applyFont="1" applyFill="1" applyAlignment="1">
      <alignment horizontal="center"/>
    </xf>
    <xf numFmtId="180" fontId="2" fillId="4" borderId="24" xfId="3" applyNumberFormat="1" applyFont="1" applyFill="1" applyBorder="1" applyAlignment="1">
      <alignment horizontal="center"/>
    </xf>
    <xf numFmtId="180" fontId="0" fillId="7" borderId="0" xfId="3" applyNumberFormat="1" applyFont="1" applyFill="1" applyAlignment="1">
      <alignment horizontal="center"/>
    </xf>
    <xf numFmtId="180" fontId="2" fillId="7" borderId="24" xfId="3" applyNumberFormat="1" applyFont="1" applyFill="1" applyBorder="1" applyAlignment="1">
      <alignment horizontal="center"/>
    </xf>
    <xf numFmtId="180" fontId="0" fillId="7" borderId="26" xfId="3" applyNumberFormat="1" applyFont="1" applyFill="1" applyBorder="1" applyAlignment="1">
      <alignment horizontal="center"/>
    </xf>
    <xf numFmtId="180" fontId="2" fillId="7" borderId="27" xfId="3" applyNumberFormat="1" applyFont="1" applyFill="1" applyBorder="1" applyAlignment="1">
      <alignment horizontal="center"/>
    </xf>
    <xf numFmtId="180" fontId="0" fillId="7" borderId="1" xfId="3" applyNumberFormat="1" applyFont="1" applyFill="1" applyBorder="1" applyAlignment="1">
      <alignment horizontal="center"/>
    </xf>
    <xf numFmtId="180" fontId="2" fillId="7" borderId="29" xfId="3" applyNumberFormat="1" applyFont="1" applyFill="1" applyBorder="1" applyAlignment="1">
      <alignment horizontal="center"/>
    </xf>
  </cellXfs>
  <cellStyles count="5">
    <cellStyle name="Comma" xfId="1" builtinId="3"/>
    <cellStyle name="Currency" xfId="2" builtinId="4"/>
    <cellStyle name="Normal" xfId="0" builtinId="0"/>
    <cellStyle name="Normal 3" xfId="4" xr:uid="{0B46841C-DD80-4FAF-82B4-F65D75AC5167}"/>
    <cellStyle name="Percent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U:\blpc2021\Documents\Rates\Clean%20Energy%20Rider\Draft%20application\Application\Exhibits\September%2030\Exhibit%20PLA-1%20.xlsx" TargetMode="External"/><Relationship Id="rId1" Type="http://schemas.openxmlformats.org/officeDocument/2006/relationships/externalLinkPath" Target="Exhibit%20PLA-1%2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Revenue Requirement"/>
      <sheetName val="Cost of Capital"/>
      <sheetName val="Depreciation"/>
      <sheetName val="Taxes"/>
      <sheetName val="Income Statement"/>
    </sheetNames>
    <sheetDataSet>
      <sheetData sheetId="0">
        <row r="38">
          <cell r="D38">
            <v>167428.76931617263</v>
          </cell>
        </row>
      </sheetData>
      <sheetData sheetId="1" refreshError="1"/>
      <sheetData sheetId="2" refreshError="1"/>
      <sheetData sheetId="3" refreshError="1"/>
      <sheetData sheetId="4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E481C4-8CE9-4E65-9447-499CE38105A3}">
  <dimension ref="A1:L20"/>
  <sheetViews>
    <sheetView tabSelected="1" zoomScale="90" zoomScaleNormal="90" workbookViewId="0">
      <selection activeCell="P9" sqref="P9"/>
    </sheetView>
  </sheetViews>
  <sheetFormatPr defaultRowHeight="14.4" x14ac:dyDescent="0.3"/>
  <cols>
    <col min="1" max="1" width="28.33203125" customWidth="1"/>
    <col min="2" max="2" width="8.44140625" customWidth="1"/>
    <col min="3" max="3" width="2.88671875" customWidth="1"/>
    <col min="4" max="4" width="20.77734375" customWidth="1"/>
    <col min="5" max="5" width="2.77734375" customWidth="1"/>
    <col min="6" max="6" width="20" customWidth="1"/>
    <col min="7" max="7" width="2.88671875" customWidth="1"/>
    <col min="8" max="8" width="16" customWidth="1"/>
    <col min="9" max="9" width="2.6640625" customWidth="1"/>
    <col min="10" max="10" width="15.21875" bestFit="1" customWidth="1"/>
    <col min="11" max="11" width="2.5546875" customWidth="1"/>
    <col min="12" max="12" width="11.44140625" customWidth="1"/>
  </cols>
  <sheetData>
    <row r="1" spans="1:12" x14ac:dyDescent="0.3">
      <c r="D1" s="218" t="s">
        <v>155</v>
      </c>
      <c r="E1" s="218"/>
      <c r="F1" s="218"/>
      <c r="G1" s="218"/>
      <c r="H1" s="218"/>
      <c r="I1" s="218"/>
    </row>
    <row r="2" spans="1:12" x14ac:dyDescent="0.3">
      <c r="D2" s="218" t="s">
        <v>156</v>
      </c>
      <c r="E2" s="218"/>
      <c r="F2" s="218"/>
      <c r="G2" s="218"/>
      <c r="H2" s="218"/>
      <c r="I2" s="218"/>
    </row>
    <row r="3" spans="1:12" x14ac:dyDescent="0.3">
      <c r="D3" s="218" t="s">
        <v>157</v>
      </c>
      <c r="E3" s="218"/>
      <c r="F3" s="218"/>
      <c r="G3" s="218"/>
      <c r="H3" s="218"/>
      <c r="I3" s="218"/>
    </row>
    <row r="4" spans="1:12" x14ac:dyDescent="0.3">
      <c r="D4" s="218" t="s">
        <v>158</v>
      </c>
      <c r="E4" s="218"/>
      <c r="F4" s="218"/>
      <c r="G4" s="218"/>
      <c r="H4" s="218"/>
      <c r="I4" s="218"/>
    </row>
    <row r="5" spans="1:12" ht="43.2" customHeight="1" x14ac:dyDescent="0.3">
      <c r="B5" s="219" t="s">
        <v>10</v>
      </c>
      <c r="C5" s="221"/>
      <c r="D5" s="219" t="s">
        <v>8</v>
      </c>
      <c r="E5" s="219"/>
      <c r="F5" s="219" t="s">
        <v>11</v>
      </c>
      <c r="G5" s="10"/>
      <c r="H5" s="10" t="s">
        <v>12</v>
      </c>
      <c r="I5" s="10"/>
      <c r="J5" s="10" t="s">
        <v>13</v>
      </c>
      <c r="L5" s="170"/>
    </row>
    <row r="6" spans="1:12" ht="28.8" x14ac:dyDescent="0.3">
      <c r="A6" s="8" t="s">
        <v>7</v>
      </c>
      <c r="B6" s="220"/>
      <c r="C6" s="221"/>
      <c r="D6" s="220"/>
      <c r="E6" s="220"/>
      <c r="F6" s="220"/>
      <c r="G6" s="10"/>
      <c r="H6" s="9">
        <v>2024</v>
      </c>
      <c r="I6" s="10"/>
      <c r="J6" s="9">
        <v>2024</v>
      </c>
      <c r="L6" s="9" t="s">
        <v>154</v>
      </c>
    </row>
    <row r="7" spans="1:12" x14ac:dyDescent="0.3">
      <c r="A7" t="s">
        <v>0</v>
      </c>
      <c r="B7" s="6">
        <v>7.6236423720633953E-2</v>
      </c>
      <c r="C7" s="6"/>
      <c r="D7" s="1">
        <v>350658749.66966999</v>
      </c>
      <c r="E7" s="1"/>
      <c r="F7" s="1">
        <f>D7*(1+B7)</f>
        <v>377391718.69083464</v>
      </c>
      <c r="G7" s="1"/>
      <c r="H7" s="162">
        <f>ROUND((H$19*(1+$B7)),6)</f>
        <v>1.7699999999999999E-4</v>
      </c>
      <c r="I7" s="7"/>
      <c r="J7" s="159">
        <f t="shared" ref="J7:J13" si="0">H7*$D7</f>
        <v>62066.598691531588</v>
      </c>
      <c r="L7" s="13">
        <f t="shared" ref="L7:L13" si="1">SUM(H7:H7)</f>
        <v>1.7699999999999999E-4</v>
      </c>
    </row>
    <row r="8" spans="1:12" x14ac:dyDescent="0.3">
      <c r="A8" t="s">
        <v>1</v>
      </c>
      <c r="B8" s="6">
        <f>B7</f>
        <v>7.6236423720633953E-2</v>
      </c>
      <c r="C8" s="6"/>
      <c r="D8" s="1">
        <v>53841193.32999</v>
      </c>
      <c r="E8" s="1"/>
      <c r="F8" s="1">
        <f t="shared" ref="F8:F13" si="2">D8*(1+B8)</f>
        <v>57945853.358319685</v>
      </c>
      <c r="G8" s="1"/>
      <c r="H8" s="162">
        <f t="shared" ref="H8:H13" si="3">ROUND((H$19*(1+$B8)),6)</f>
        <v>1.7699999999999999E-4</v>
      </c>
      <c r="I8" s="7"/>
      <c r="J8" s="159">
        <f t="shared" si="0"/>
        <v>9529.8912194082295</v>
      </c>
      <c r="L8" s="13">
        <f t="shared" si="1"/>
        <v>1.7699999999999999E-4</v>
      </c>
    </row>
    <row r="9" spans="1:12" x14ac:dyDescent="0.3">
      <c r="A9" t="s">
        <v>2</v>
      </c>
      <c r="B9" s="6">
        <f>B7</f>
        <v>7.6236423720633953E-2</v>
      </c>
      <c r="C9" s="6"/>
      <c r="D9" s="1">
        <v>317104089.88320005</v>
      </c>
      <c r="E9" s="1"/>
      <c r="F9" s="1">
        <f t="shared" si="2"/>
        <v>341278971.64308167</v>
      </c>
      <c r="G9" s="1"/>
      <c r="H9" s="162">
        <f t="shared" si="3"/>
        <v>1.7699999999999999E-4</v>
      </c>
      <c r="I9" s="7"/>
      <c r="J9" s="159">
        <f t="shared" si="0"/>
        <v>56127.423909326404</v>
      </c>
      <c r="L9" s="13">
        <f t="shared" si="1"/>
        <v>1.7699999999999999E-4</v>
      </c>
    </row>
    <row r="10" spans="1:12" x14ac:dyDescent="0.3">
      <c r="A10" t="s">
        <v>3</v>
      </c>
      <c r="B10" s="6">
        <v>5.7771252843217283E-2</v>
      </c>
      <c r="C10" s="6"/>
      <c r="D10" s="1">
        <v>180384540.58199</v>
      </c>
      <c r="E10" s="1"/>
      <c r="F10" s="1">
        <f t="shared" si="2"/>
        <v>190805581.48495972</v>
      </c>
      <c r="G10" s="1"/>
      <c r="H10" s="162">
        <f t="shared" si="3"/>
        <v>1.74E-4</v>
      </c>
      <c r="I10" s="7"/>
      <c r="J10" s="159">
        <f t="shared" si="0"/>
        <v>31386.910061266262</v>
      </c>
      <c r="L10" s="13">
        <f t="shared" si="1"/>
        <v>1.74E-4</v>
      </c>
    </row>
    <row r="11" spans="1:12" x14ac:dyDescent="0.3">
      <c r="A11" t="s">
        <v>4</v>
      </c>
      <c r="B11" s="6">
        <v>6.6355804330277476E-2</v>
      </c>
      <c r="C11" s="6"/>
      <c r="D11" s="1">
        <v>39107971</v>
      </c>
      <c r="E11" s="1"/>
      <c r="F11" s="1">
        <f t="shared" si="2"/>
        <v>41703011.871430166</v>
      </c>
      <c r="G11" s="1"/>
      <c r="H11" s="162">
        <f>ROUND((H$19*(1+$B11)),6)</f>
        <v>1.76E-4</v>
      </c>
      <c r="I11" s="7"/>
      <c r="J11" s="159">
        <f t="shared" si="0"/>
        <v>6883.002896</v>
      </c>
      <c r="L11" s="13">
        <f t="shared" si="1"/>
        <v>1.76E-4</v>
      </c>
    </row>
    <row r="12" spans="1:12" x14ac:dyDescent="0.3">
      <c r="A12" t="s">
        <v>5</v>
      </c>
      <c r="B12" s="6">
        <v>5.7771252843217283E-2</v>
      </c>
      <c r="C12" s="6"/>
      <c r="D12" s="1">
        <v>1761794.1026900001</v>
      </c>
      <c r="E12" s="1"/>
      <c r="F12" s="1">
        <f t="shared" si="2"/>
        <v>1863575.1552541931</v>
      </c>
      <c r="G12" s="1"/>
      <c r="H12" s="162">
        <f t="shared" si="3"/>
        <v>1.74E-4</v>
      </c>
      <c r="I12" s="7"/>
      <c r="J12" s="159">
        <f t="shared" si="0"/>
        <v>306.55217386806004</v>
      </c>
      <c r="L12" s="13">
        <f t="shared" si="1"/>
        <v>1.74E-4</v>
      </c>
    </row>
    <row r="13" spans="1:12" x14ac:dyDescent="0.3">
      <c r="A13" t="s">
        <v>6</v>
      </c>
      <c r="B13" s="6">
        <f>B7</f>
        <v>7.6236423720633953E-2</v>
      </c>
      <c r="C13" s="6"/>
      <c r="D13" s="1">
        <v>4194426.8234519996</v>
      </c>
      <c r="E13" s="1"/>
      <c r="F13" s="1">
        <f t="shared" si="2"/>
        <v>4514194.9240298783</v>
      </c>
      <c r="G13" s="1"/>
      <c r="H13" s="163">
        <f t="shared" si="3"/>
        <v>1.7699999999999999E-4</v>
      </c>
      <c r="I13" s="12"/>
      <c r="J13" s="159">
        <f t="shared" si="0"/>
        <v>742.41354775100388</v>
      </c>
      <c r="L13" s="169">
        <f t="shared" si="1"/>
        <v>1.7699999999999999E-4</v>
      </c>
    </row>
    <row r="14" spans="1:12" x14ac:dyDescent="0.3">
      <c r="A14" t="s">
        <v>9</v>
      </c>
      <c r="D14" s="4">
        <f>SUM(D7:D13)</f>
        <v>947052765.39099205</v>
      </c>
      <c r="E14" s="11"/>
      <c r="F14" s="4">
        <f>SUM(F7:F13)</f>
        <v>1015502907.1279099</v>
      </c>
      <c r="G14" s="11"/>
      <c r="H14" s="5">
        <f>J14/$D$14</f>
        <v>1.7638171663031648E-4</v>
      </c>
      <c r="I14" s="11"/>
      <c r="J14" s="160">
        <f>SUM(J7:J13)</f>
        <v>167042.79249915155</v>
      </c>
      <c r="L14" s="5">
        <f>SUM(J14:J14)/D14</f>
        <v>1.7638171663031648E-4</v>
      </c>
    </row>
    <row r="15" spans="1:12" x14ac:dyDescent="0.3">
      <c r="J15" s="161">
        <f>J14-H17</f>
        <v>-385.97681702108821</v>
      </c>
    </row>
    <row r="17" spans="5:12" ht="24.6" customHeight="1" x14ac:dyDescent="0.3">
      <c r="E17" s="2"/>
      <c r="F17" s="158" t="s">
        <v>14</v>
      </c>
      <c r="G17" s="157"/>
      <c r="H17" s="14">
        <f>'[1]Revenue Requirement'!$D$38</f>
        <v>167428.76931617263</v>
      </c>
      <c r="J17" s="168"/>
    </row>
    <row r="18" spans="5:12" x14ac:dyDescent="0.3">
      <c r="J18" s="13"/>
    </row>
    <row r="19" spans="5:12" x14ac:dyDescent="0.3">
      <c r="E19" s="2"/>
      <c r="F19" t="s">
        <v>159</v>
      </c>
      <c r="G19" s="13"/>
      <c r="H19" s="13">
        <f>H$17/$F$14</f>
        <v>1.6487276219592721E-4</v>
      </c>
      <c r="J19" s="2"/>
      <c r="L19" s="5">
        <f>SUM(H17:H17)/F14</f>
        <v>1.6487276219592721E-4</v>
      </c>
    </row>
    <row r="20" spans="5:12" x14ac:dyDescent="0.3">
      <c r="F20" t="s">
        <v>160</v>
      </c>
      <c r="G20" s="13"/>
      <c r="H20" s="13">
        <f>J$14/$D$14</f>
        <v>1.7638171663031648E-4</v>
      </c>
      <c r="L20" s="5">
        <f>SUM(J14:J14)/D14</f>
        <v>1.7638171663031648E-4</v>
      </c>
    </row>
  </sheetData>
  <mergeCells count="9">
    <mergeCell ref="D1:I1"/>
    <mergeCell ref="D2:I2"/>
    <mergeCell ref="D3:I3"/>
    <mergeCell ref="D4:I4"/>
    <mergeCell ref="B5:B6"/>
    <mergeCell ref="D5:D6"/>
    <mergeCell ref="F5:F6"/>
    <mergeCell ref="E5:E6"/>
    <mergeCell ref="C5:C6"/>
  </mergeCells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004B3D-7A13-4645-A2F3-68F5157AC99C}">
  <dimension ref="C3:Q59"/>
  <sheetViews>
    <sheetView workbookViewId="0">
      <selection activeCell="N27" sqref="N27"/>
    </sheetView>
  </sheetViews>
  <sheetFormatPr defaultColWidth="9.109375" defaultRowHeight="14.4" x14ac:dyDescent="0.3"/>
  <cols>
    <col min="1" max="3" width="9.109375" style="99"/>
    <col min="4" max="4" width="25.33203125" style="99" customWidth="1"/>
    <col min="5" max="7" width="9.6640625" style="99" bestFit="1" customWidth="1"/>
    <col min="8" max="8" width="10" style="99" bestFit="1" customWidth="1"/>
    <col min="9" max="9" width="10" style="99" customWidth="1"/>
    <col min="10" max="10" width="10" style="99" bestFit="1" customWidth="1"/>
    <col min="11" max="11" width="12.44140625" style="99" customWidth="1"/>
    <col min="12" max="12" width="12.33203125" style="99" customWidth="1"/>
    <col min="13" max="13" width="12" style="99" customWidth="1"/>
    <col min="14" max="14" width="10.109375" style="99" customWidth="1"/>
    <col min="15" max="15" width="13.88671875" style="99" customWidth="1"/>
    <col min="16" max="16" width="7" style="99" bestFit="1" customWidth="1"/>
    <col min="17" max="16384" width="9.109375" style="99"/>
  </cols>
  <sheetData>
    <row r="3" spans="3:17" x14ac:dyDescent="0.3">
      <c r="C3" s="66"/>
      <c r="D3" s="66"/>
      <c r="E3" s="66"/>
      <c r="F3" s="66"/>
      <c r="G3" s="69" t="s">
        <v>104</v>
      </c>
      <c r="H3" s="66"/>
      <c r="I3" s="66"/>
      <c r="J3" s="66"/>
      <c r="K3" s="66"/>
      <c r="L3" s="66"/>
      <c r="M3" s="66"/>
      <c r="N3" s="66"/>
      <c r="O3" s="66"/>
      <c r="P3" s="66"/>
      <c r="Q3" s="66"/>
    </row>
    <row r="4" spans="3:17" x14ac:dyDescent="0.3">
      <c r="C4" s="66"/>
      <c r="D4" s="66"/>
      <c r="E4" s="66"/>
      <c r="F4" s="66"/>
      <c r="G4" s="66"/>
      <c r="H4" s="66"/>
      <c r="I4" s="66"/>
      <c r="J4" s="66"/>
      <c r="K4" s="66"/>
      <c r="L4" s="66"/>
      <c r="M4" s="66"/>
      <c r="N4" s="66"/>
      <c r="O4" s="66"/>
      <c r="P4" s="66"/>
      <c r="Q4" s="66"/>
    </row>
    <row r="5" spans="3:17" ht="40.5" customHeight="1" x14ac:dyDescent="0.3">
      <c r="C5" s="66"/>
      <c r="D5" s="254" t="s">
        <v>0</v>
      </c>
      <c r="E5" s="255"/>
      <c r="F5" s="255"/>
      <c r="G5" s="255"/>
      <c r="H5" s="255"/>
      <c r="I5" s="255"/>
      <c r="J5" s="255"/>
      <c r="K5" s="255"/>
      <c r="L5" s="255"/>
      <c r="M5" s="256"/>
      <c r="N5" s="66"/>
      <c r="O5" s="66"/>
      <c r="P5" s="66"/>
      <c r="Q5" s="66"/>
    </row>
    <row r="6" spans="3:17" ht="40.5" customHeight="1" x14ac:dyDescent="0.3">
      <c r="C6" s="66"/>
      <c r="D6" s="166"/>
      <c r="E6" s="165"/>
      <c r="F6" s="167"/>
      <c r="G6" s="252" t="s">
        <v>149</v>
      </c>
      <c r="H6" s="252"/>
      <c r="I6" s="252"/>
      <c r="J6" s="253"/>
      <c r="K6" s="251" t="s">
        <v>148</v>
      </c>
      <c r="L6" s="252"/>
      <c r="M6" s="253"/>
      <c r="N6" s="66"/>
      <c r="O6" s="66"/>
      <c r="P6" s="66"/>
      <c r="Q6" s="66"/>
    </row>
    <row r="7" spans="3:17" ht="43.2" x14ac:dyDescent="0.3">
      <c r="C7" s="66"/>
      <c r="D7" s="250" t="s">
        <v>105</v>
      </c>
      <c r="E7" s="250"/>
      <c r="F7" s="250"/>
      <c r="G7" s="164" t="s">
        <v>15</v>
      </c>
      <c r="H7" s="164" t="s">
        <v>106</v>
      </c>
      <c r="I7" s="164" t="s">
        <v>107</v>
      </c>
      <c r="J7" s="164" t="s">
        <v>108</v>
      </c>
      <c r="K7" s="100">
        <v>2024</v>
      </c>
      <c r="L7" s="100"/>
      <c r="M7" s="100"/>
      <c r="N7" s="66"/>
      <c r="O7" s="66"/>
      <c r="P7" s="66"/>
      <c r="Q7" s="66"/>
    </row>
    <row r="8" spans="3:17" ht="28.8" x14ac:dyDescent="0.3">
      <c r="C8" s="66"/>
      <c r="D8" s="102" t="s">
        <v>109</v>
      </c>
      <c r="E8" s="102" t="s">
        <v>110</v>
      </c>
      <c r="F8" s="102" t="s">
        <v>111</v>
      </c>
      <c r="G8" s="100" t="s">
        <v>112</v>
      </c>
      <c r="H8" s="100" t="s">
        <v>112</v>
      </c>
      <c r="I8" s="103">
        <v>0.17499999999999999</v>
      </c>
      <c r="J8" s="104">
        <v>0.45109101248895617</v>
      </c>
      <c r="K8" s="104">
        <f>'CETR Rate'!H7</f>
        <v>1.7699999999999999E-4</v>
      </c>
      <c r="L8" s="104"/>
      <c r="M8" s="104"/>
      <c r="N8" s="115"/>
      <c r="O8" s="111"/>
      <c r="P8" s="66"/>
      <c r="Q8" s="66"/>
    </row>
    <row r="9" spans="3:17" x14ac:dyDescent="0.3">
      <c r="C9" s="66"/>
      <c r="D9" s="107">
        <v>0</v>
      </c>
      <c r="E9" s="108">
        <v>150</v>
      </c>
      <c r="F9" s="108">
        <v>150</v>
      </c>
      <c r="G9" s="109">
        <f>'Rate Summary'!I12</f>
        <v>7</v>
      </c>
      <c r="H9" s="104">
        <f>'Rate Summary'!I16</f>
        <v>0.16</v>
      </c>
      <c r="I9" s="110"/>
      <c r="J9" s="111"/>
      <c r="K9" s="111"/>
      <c r="L9" s="66"/>
      <c r="M9" s="66"/>
      <c r="N9" s="66"/>
      <c r="O9" s="66"/>
      <c r="P9" s="66"/>
      <c r="Q9" s="66"/>
    </row>
    <row r="10" spans="3:17" x14ac:dyDescent="0.3">
      <c r="C10" s="66"/>
      <c r="D10" s="107">
        <v>151</v>
      </c>
      <c r="E10" s="108">
        <v>500</v>
      </c>
      <c r="F10" s="108">
        <v>350</v>
      </c>
      <c r="G10" s="109">
        <f>'Rate Summary'!I13</f>
        <v>12</v>
      </c>
      <c r="H10" s="104">
        <f>'Rate Summary'!I17</f>
        <v>0.19600000000000001</v>
      </c>
      <c r="I10" s="110"/>
      <c r="J10" s="111"/>
      <c r="K10" s="111"/>
      <c r="L10" s="66"/>
      <c r="M10" s="105"/>
      <c r="N10" s="66"/>
      <c r="O10" s="66"/>
      <c r="P10" s="66"/>
      <c r="Q10" s="66"/>
    </row>
    <row r="11" spans="3:17" x14ac:dyDescent="0.3">
      <c r="C11" s="66"/>
      <c r="D11" s="107">
        <v>501</v>
      </c>
      <c r="E11" s="108">
        <v>1500</v>
      </c>
      <c r="F11" s="108">
        <v>1000</v>
      </c>
      <c r="G11" s="109">
        <f>'Rate Summary'!I14</f>
        <v>17</v>
      </c>
      <c r="H11" s="104">
        <f>'Rate Summary'!I18</f>
        <v>0.22500000000000001</v>
      </c>
      <c r="I11" s="110"/>
      <c r="J11" s="111"/>
      <c r="K11" s="111"/>
      <c r="L11" s="66"/>
      <c r="M11" s="66"/>
      <c r="N11" s="66"/>
      <c r="O11" s="66"/>
      <c r="P11" s="66"/>
      <c r="Q11" s="66"/>
    </row>
    <row r="12" spans="3:17" x14ac:dyDescent="0.3">
      <c r="C12" s="66"/>
      <c r="D12" s="107">
        <v>1500</v>
      </c>
      <c r="E12" s="108">
        <v>10000</v>
      </c>
      <c r="F12" s="107"/>
      <c r="G12" s="109">
        <f>G11</f>
        <v>17</v>
      </c>
      <c r="H12" s="104">
        <f>'Rate Summary'!I19</f>
        <v>0.254</v>
      </c>
      <c r="I12" s="110"/>
      <c r="J12" s="111"/>
      <c r="K12" s="111"/>
      <c r="L12" s="66"/>
      <c r="M12" s="66"/>
      <c r="N12" s="66"/>
      <c r="O12" s="66"/>
      <c r="P12" s="66"/>
      <c r="Q12" s="66"/>
    </row>
    <row r="13" spans="3:17" x14ac:dyDescent="0.3">
      <c r="C13" s="66"/>
      <c r="D13" s="66"/>
      <c r="E13" s="66"/>
      <c r="F13" s="66"/>
      <c r="G13" s="111"/>
      <c r="H13" s="111"/>
      <c r="I13" s="111"/>
      <c r="J13" s="111"/>
      <c r="K13" s="111"/>
      <c r="L13" s="66"/>
      <c r="M13" s="66"/>
      <c r="N13" s="66"/>
      <c r="O13" s="66"/>
      <c r="P13" s="66"/>
      <c r="Q13" s="66"/>
    </row>
    <row r="14" spans="3:17" x14ac:dyDescent="0.3">
      <c r="C14" s="66"/>
      <c r="D14" s="66"/>
      <c r="E14" s="66"/>
      <c r="F14" s="66"/>
      <c r="G14" s="66"/>
      <c r="H14" s="66"/>
      <c r="I14" s="66"/>
      <c r="J14" s="66"/>
      <c r="K14" s="66"/>
      <c r="L14" s="66"/>
      <c r="M14" s="66"/>
      <c r="N14" s="66"/>
      <c r="O14" s="66"/>
      <c r="P14" s="66"/>
      <c r="Q14" s="66"/>
    </row>
    <row r="15" spans="3:17" x14ac:dyDescent="0.3">
      <c r="C15" s="66"/>
      <c r="D15" s="254" t="s">
        <v>56</v>
      </c>
      <c r="E15" s="255"/>
      <c r="F15" s="255"/>
      <c r="G15" s="258"/>
      <c r="H15" s="258"/>
      <c r="I15" s="258"/>
      <c r="J15" s="258"/>
      <c r="K15" s="258"/>
      <c r="L15" s="258"/>
      <c r="M15" s="258"/>
      <c r="N15" s="66"/>
      <c r="O15" s="66"/>
      <c r="P15" s="66"/>
      <c r="Q15" s="66"/>
    </row>
    <row r="16" spans="3:17" ht="34.200000000000003" customHeight="1" x14ac:dyDescent="0.3">
      <c r="C16" s="66"/>
      <c r="D16" s="165"/>
      <c r="E16" s="165"/>
      <c r="F16" s="165"/>
      <c r="G16" s="257" t="s">
        <v>149</v>
      </c>
      <c r="H16" s="257"/>
      <c r="I16" s="257"/>
      <c r="J16" s="257"/>
      <c r="K16" s="251" t="s">
        <v>148</v>
      </c>
      <c r="L16" s="252"/>
      <c r="M16" s="253"/>
      <c r="N16" s="66"/>
      <c r="O16" s="66"/>
      <c r="P16" s="66"/>
      <c r="Q16" s="66"/>
    </row>
    <row r="17" spans="3:17" ht="43.2" x14ac:dyDescent="0.3">
      <c r="C17" s="66"/>
      <c r="D17" s="250" t="s">
        <v>105</v>
      </c>
      <c r="E17" s="250"/>
      <c r="F17" s="250"/>
      <c r="G17" s="100" t="s">
        <v>15</v>
      </c>
      <c r="H17" s="100" t="s">
        <v>106</v>
      </c>
      <c r="I17" s="100" t="s">
        <v>107</v>
      </c>
      <c r="J17" s="100" t="s">
        <v>108</v>
      </c>
      <c r="K17" s="100">
        <v>2024</v>
      </c>
      <c r="L17" s="100"/>
      <c r="M17" s="100"/>
      <c r="N17" s="66"/>
      <c r="O17" s="66"/>
      <c r="P17" s="66"/>
      <c r="Q17" s="66"/>
    </row>
    <row r="18" spans="3:17" ht="28.8" x14ac:dyDescent="0.3">
      <c r="C18" s="66"/>
      <c r="D18" s="102" t="s">
        <v>109</v>
      </c>
      <c r="E18" s="102" t="s">
        <v>110</v>
      </c>
      <c r="F18" s="102" t="s">
        <v>111</v>
      </c>
      <c r="G18" s="100" t="s">
        <v>112</v>
      </c>
      <c r="H18" s="100" t="s">
        <v>112</v>
      </c>
      <c r="I18" s="103">
        <v>0.17499999999999999</v>
      </c>
      <c r="J18" s="104">
        <f>J8</f>
        <v>0.45109101248895617</v>
      </c>
      <c r="K18" s="104">
        <f>'CETR Rate'!H8</f>
        <v>1.7699999999999999E-4</v>
      </c>
      <c r="L18" s="104"/>
      <c r="M18" s="104"/>
      <c r="N18" s="66"/>
      <c r="O18" s="66"/>
      <c r="P18" s="66"/>
      <c r="Q18" s="66"/>
    </row>
    <row r="19" spans="3:17" x14ac:dyDescent="0.3">
      <c r="C19" s="66"/>
      <c r="D19" s="107">
        <v>0</v>
      </c>
      <c r="E19" s="108">
        <v>150</v>
      </c>
      <c r="F19" s="108">
        <v>150</v>
      </c>
      <c r="G19" s="109"/>
      <c r="H19" s="104">
        <f>'Rate Summary'!I24</f>
        <v>0.13341789607515658</v>
      </c>
      <c r="I19" s="110"/>
      <c r="J19" s="111"/>
      <c r="K19" s="111"/>
      <c r="L19" s="66"/>
      <c r="M19" s="66"/>
      <c r="N19" s="66"/>
      <c r="O19" s="66"/>
      <c r="P19" s="66"/>
      <c r="Q19" s="66"/>
    </row>
    <row r="20" spans="3:17" x14ac:dyDescent="0.3">
      <c r="C20" s="66"/>
      <c r="D20" s="107">
        <v>151</v>
      </c>
      <c r="E20" s="108">
        <v>500</v>
      </c>
      <c r="F20" s="108">
        <v>350</v>
      </c>
      <c r="G20" s="109"/>
      <c r="H20" s="104">
        <f>'Rate Summary'!I25</f>
        <v>0.15748000000000001</v>
      </c>
      <c r="I20" s="110"/>
      <c r="J20" s="111"/>
      <c r="K20" s="111"/>
      <c r="L20" s="66"/>
      <c r="M20" s="66"/>
      <c r="N20" s="66"/>
      <c r="O20" s="66"/>
      <c r="P20" s="66"/>
      <c r="Q20" s="66"/>
    </row>
    <row r="21" spans="3:17" x14ac:dyDescent="0.3">
      <c r="C21" s="66"/>
      <c r="D21" s="107">
        <v>501</v>
      </c>
      <c r="E21" s="108">
        <v>1500</v>
      </c>
      <c r="F21" s="108">
        <v>1000</v>
      </c>
      <c r="G21" s="109"/>
      <c r="H21" s="104">
        <f>'Rate Summary'!I26</f>
        <v>0.2268</v>
      </c>
      <c r="I21" s="110"/>
      <c r="J21" s="111"/>
      <c r="K21" s="111"/>
      <c r="L21" s="66"/>
      <c r="M21" s="66"/>
      <c r="N21" s="66"/>
      <c r="O21" s="66"/>
      <c r="P21" s="66"/>
      <c r="Q21" s="66"/>
    </row>
    <row r="22" spans="3:17" x14ac:dyDescent="0.3">
      <c r="C22" s="66"/>
      <c r="D22" s="107">
        <v>1500</v>
      </c>
      <c r="E22" s="108">
        <v>10000</v>
      </c>
      <c r="F22" s="107"/>
      <c r="G22" s="109"/>
      <c r="H22" s="104">
        <f>'Rate Summary'!I27</f>
        <v>0.25452000000000002</v>
      </c>
      <c r="I22" s="110"/>
      <c r="J22" s="111"/>
      <c r="K22" s="111"/>
      <c r="L22" s="66"/>
      <c r="M22" s="66"/>
      <c r="N22" s="66"/>
      <c r="O22" s="66"/>
      <c r="P22" s="66"/>
      <c r="Q22" s="66"/>
    </row>
    <row r="23" spans="3:17" x14ac:dyDescent="0.3">
      <c r="C23" s="66"/>
      <c r="D23" s="66"/>
      <c r="E23" s="66"/>
      <c r="F23" s="66"/>
      <c r="G23" s="66"/>
      <c r="H23" s="66"/>
      <c r="I23" s="66"/>
      <c r="J23" s="66"/>
      <c r="K23" s="66"/>
      <c r="L23" s="66"/>
      <c r="M23" s="66"/>
      <c r="N23" s="66"/>
      <c r="O23" s="66"/>
      <c r="P23" s="66"/>
      <c r="Q23" s="66"/>
    </row>
    <row r="24" spans="3:17" x14ac:dyDescent="0.3">
      <c r="C24" s="66"/>
      <c r="D24" s="66"/>
      <c r="E24" s="66"/>
      <c r="F24" s="66"/>
      <c r="G24" s="66"/>
      <c r="H24" s="66"/>
      <c r="I24" s="66"/>
      <c r="J24" s="66"/>
      <c r="K24" s="66"/>
      <c r="L24" s="66"/>
      <c r="M24" s="66"/>
      <c r="N24" s="66"/>
      <c r="O24" s="66"/>
      <c r="P24" s="66"/>
      <c r="Q24" s="66"/>
    </row>
    <row r="25" spans="3:17" x14ac:dyDescent="0.3">
      <c r="C25" s="66"/>
      <c r="D25" s="254" t="s">
        <v>2</v>
      </c>
      <c r="E25" s="255"/>
      <c r="F25" s="255"/>
      <c r="G25" s="258"/>
      <c r="H25" s="258"/>
      <c r="I25" s="258"/>
      <c r="J25" s="258"/>
      <c r="K25" s="258"/>
      <c r="L25" s="258"/>
      <c r="M25" s="258"/>
      <c r="N25" s="66"/>
      <c r="O25" s="66"/>
      <c r="P25" s="66"/>
      <c r="Q25" s="66"/>
    </row>
    <row r="26" spans="3:17" ht="29.4" customHeight="1" x14ac:dyDescent="0.3">
      <c r="C26" s="66"/>
      <c r="D26" s="166"/>
      <c r="E26" s="165"/>
      <c r="F26" s="165"/>
      <c r="G26" s="257" t="s">
        <v>149</v>
      </c>
      <c r="H26" s="257"/>
      <c r="I26" s="257"/>
      <c r="J26" s="257"/>
      <c r="K26" s="251" t="s">
        <v>148</v>
      </c>
      <c r="L26" s="252"/>
      <c r="M26" s="253"/>
      <c r="N26" s="66"/>
      <c r="O26" s="66"/>
      <c r="P26" s="66"/>
      <c r="Q26" s="66"/>
    </row>
    <row r="27" spans="3:17" ht="43.2" x14ac:dyDescent="0.3">
      <c r="C27" s="66"/>
      <c r="D27" s="250" t="s">
        <v>105</v>
      </c>
      <c r="E27" s="250"/>
      <c r="F27" s="250"/>
      <c r="G27" s="100" t="s">
        <v>15</v>
      </c>
      <c r="H27" s="100" t="s">
        <v>106</v>
      </c>
      <c r="I27" s="100" t="s">
        <v>107</v>
      </c>
      <c r="J27" s="100" t="s">
        <v>108</v>
      </c>
      <c r="K27" s="100">
        <v>2024</v>
      </c>
      <c r="L27" s="100"/>
      <c r="M27" s="100"/>
      <c r="N27" s="66"/>
      <c r="O27" s="66"/>
      <c r="P27" s="66"/>
      <c r="Q27" s="66"/>
    </row>
    <row r="28" spans="3:17" ht="28.8" x14ac:dyDescent="0.3">
      <c r="C28" s="66"/>
      <c r="D28" s="102" t="s">
        <v>109</v>
      </c>
      <c r="E28" s="102" t="s">
        <v>110</v>
      </c>
      <c r="F28" s="102" t="s">
        <v>111</v>
      </c>
      <c r="G28" s="100" t="s">
        <v>112</v>
      </c>
      <c r="H28" s="100" t="s">
        <v>112</v>
      </c>
      <c r="I28" s="129">
        <v>0.17499999999999999</v>
      </c>
      <c r="J28" s="130">
        <f>J18</f>
        <v>0.45109101248895617</v>
      </c>
      <c r="K28" s="104">
        <f>'CETR Rate'!H9</f>
        <v>1.7699999999999999E-4</v>
      </c>
      <c r="L28" s="104"/>
      <c r="M28" s="104"/>
      <c r="N28" s="66"/>
      <c r="O28" s="66"/>
      <c r="P28" s="66"/>
      <c r="Q28" s="66"/>
    </row>
    <row r="29" spans="3:17" x14ac:dyDescent="0.3">
      <c r="C29" s="66"/>
      <c r="D29" s="107">
        <v>0</v>
      </c>
      <c r="E29" s="108">
        <v>150</v>
      </c>
      <c r="F29" s="108">
        <v>150</v>
      </c>
      <c r="G29" s="109">
        <f>'Rate Summary'!I30</f>
        <v>10</v>
      </c>
      <c r="H29" s="104">
        <f>'Rate Summary'!I34</f>
        <v>0.19400000000000001</v>
      </c>
      <c r="I29" s="110"/>
      <c r="J29" s="111"/>
      <c r="L29" s="66"/>
      <c r="M29" s="66"/>
      <c r="N29" s="66"/>
      <c r="O29" s="66"/>
      <c r="P29" s="66"/>
      <c r="Q29" s="66"/>
    </row>
    <row r="30" spans="3:17" x14ac:dyDescent="0.3">
      <c r="C30" s="66"/>
      <c r="D30" s="107">
        <v>151</v>
      </c>
      <c r="E30" s="108">
        <v>500</v>
      </c>
      <c r="F30" s="108">
        <v>350</v>
      </c>
      <c r="G30" s="109">
        <f>'Rate Summary'!I31</f>
        <v>13</v>
      </c>
      <c r="H30" s="104">
        <f>'Rate Summary'!I35</f>
        <v>0.23699999999999999</v>
      </c>
      <c r="I30" s="110"/>
      <c r="J30" s="111"/>
      <c r="K30" s="111"/>
      <c r="L30" s="66"/>
      <c r="M30" s="66"/>
      <c r="N30" s="66"/>
      <c r="O30" s="66"/>
      <c r="P30" s="66"/>
      <c r="Q30" s="66"/>
    </row>
    <row r="31" spans="3:17" x14ac:dyDescent="0.3">
      <c r="C31" s="66"/>
      <c r="D31" s="107">
        <v>501</v>
      </c>
      <c r="E31" s="108">
        <v>1500</v>
      </c>
      <c r="F31" s="108">
        <v>1000</v>
      </c>
      <c r="G31" s="109">
        <f>'Rate Summary'!I32</f>
        <v>19</v>
      </c>
      <c r="H31" s="104">
        <f>'Rate Summary'!I36</f>
        <v>0.28399999999999997</v>
      </c>
      <c r="I31" s="110"/>
      <c r="J31" s="111"/>
      <c r="K31" s="111"/>
      <c r="L31" s="66"/>
      <c r="M31" s="66"/>
      <c r="N31" s="66"/>
      <c r="O31" s="66"/>
      <c r="P31" s="66"/>
      <c r="Q31" s="66"/>
    </row>
    <row r="32" spans="3:17" x14ac:dyDescent="0.3">
      <c r="C32" s="66"/>
      <c r="D32" s="107">
        <v>1500</v>
      </c>
      <c r="E32" s="108">
        <v>10000</v>
      </c>
      <c r="F32" s="107"/>
      <c r="G32" s="109">
        <f>G31</f>
        <v>19</v>
      </c>
      <c r="H32" s="104">
        <f>'Rate Summary'!I37</f>
        <v>0.32</v>
      </c>
      <c r="I32" s="110"/>
      <c r="J32" s="111"/>
      <c r="K32" s="111"/>
      <c r="L32" s="66"/>
      <c r="M32" s="66"/>
      <c r="N32" s="66"/>
      <c r="O32" s="66"/>
      <c r="P32" s="66"/>
      <c r="Q32" s="66"/>
    </row>
    <row r="33" spans="3:17" x14ac:dyDescent="0.3">
      <c r="C33" s="66"/>
      <c r="D33" s="66"/>
      <c r="E33" s="66"/>
      <c r="F33" s="66"/>
      <c r="G33" s="66"/>
      <c r="H33" s="66"/>
      <c r="I33" s="66"/>
      <c r="J33" s="66"/>
      <c r="K33" s="66"/>
      <c r="L33" s="66"/>
      <c r="M33" s="66"/>
      <c r="N33" s="66"/>
      <c r="O33" s="66"/>
      <c r="P33" s="66"/>
      <c r="Q33" s="66"/>
    </row>
    <row r="34" spans="3:17" x14ac:dyDescent="0.3">
      <c r="C34" s="66"/>
      <c r="D34" s="66"/>
      <c r="E34" s="259" t="s">
        <v>149</v>
      </c>
      <c r="F34" s="258"/>
      <c r="G34" s="258"/>
      <c r="H34" s="258"/>
      <c r="I34" s="260"/>
      <c r="J34" s="251" t="s">
        <v>148</v>
      </c>
      <c r="K34" s="252"/>
      <c r="L34" s="253"/>
      <c r="M34" s="66"/>
      <c r="N34" s="66"/>
      <c r="O34" s="66"/>
      <c r="P34" s="66"/>
      <c r="Q34" s="66"/>
    </row>
    <row r="35" spans="3:17" ht="43.2" x14ac:dyDescent="0.3">
      <c r="C35" s="66"/>
      <c r="D35" s="68"/>
      <c r="E35" s="117" t="s">
        <v>15</v>
      </c>
      <c r="F35" s="117" t="s">
        <v>106</v>
      </c>
      <c r="G35" s="117" t="s">
        <v>114</v>
      </c>
      <c r="H35" s="100" t="s">
        <v>107</v>
      </c>
      <c r="I35" s="100" t="s">
        <v>108</v>
      </c>
      <c r="J35" s="100">
        <v>2024</v>
      </c>
      <c r="K35" s="100"/>
      <c r="L35" s="100"/>
      <c r="M35" s="66"/>
      <c r="N35" s="66"/>
      <c r="O35" s="66"/>
      <c r="P35" s="66"/>
      <c r="Q35" s="66"/>
    </row>
    <row r="36" spans="3:17" x14ac:dyDescent="0.3">
      <c r="C36" s="66"/>
      <c r="D36" s="125" t="s">
        <v>4</v>
      </c>
      <c r="E36" s="118">
        <f>'Rate Summary'!I40</f>
        <v>94.5</v>
      </c>
      <c r="F36" s="118">
        <f>'Rate Summary'!I42</f>
        <v>0.13800000000000001</v>
      </c>
      <c r="G36" s="118">
        <f>'Rate Summary'!I41</f>
        <v>26.41</v>
      </c>
      <c r="H36" s="116">
        <v>0.17499999999999999</v>
      </c>
      <c r="I36" s="104">
        <f>J28</f>
        <v>0.45109101248895617</v>
      </c>
      <c r="J36" s="104">
        <f>'CETR Rate'!H11</f>
        <v>1.76E-4</v>
      </c>
      <c r="K36" s="104"/>
      <c r="L36" s="104"/>
      <c r="M36" s="66"/>
      <c r="N36" s="66"/>
      <c r="O36" s="66"/>
      <c r="P36" s="66"/>
      <c r="Q36" s="66"/>
    </row>
    <row r="37" spans="3:17" x14ac:dyDescent="0.3">
      <c r="C37" s="66"/>
      <c r="D37" s="125" t="s">
        <v>3</v>
      </c>
      <c r="E37" s="118">
        <f>'Rate Summary'!I45</f>
        <v>943.5</v>
      </c>
      <c r="F37" s="118">
        <f>'Rate Summary'!I47</f>
        <v>0.11700000000000001</v>
      </c>
      <c r="G37" s="118">
        <f>'Rate Summary'!I46</f>
        <v>27.65</v>
      </c>
      <c r="H37" s="66"/>
      <c r="I37" s="66"/>
      <c r="J37" s="104">
        <f>'CETR Rate'!H10</f>
        <v>1.74E-4</v>
      </c>
      <c r="K37" s="104"/>
      <c r="L37" s="104"/>
      <c r="M37" s="66"/>
      <c r="N37" s="66"/>
      <c r="O37" s="66"/>
      <c r="P37" s="66"/>
      <c r="Q37" s="66"/>
    </row>
    <row r="38" spans="3:17" x14ac:dyDescent="0.3">
      <c r="C38" s="66"/>
      <c r="D38" s="66"/>
      <c r="E38" s="66"/>
      <c r="F38" s="66"/>
      <c r="G38" s="66"/>
      <c r="H38" s="66"/>
      <c r="I38" s="66"/>
      <c r="J38" s="66"/>
      <c r="K38" s="66"/>
      <c r="L38" s="66"/>
      <c r="M38" s="66"/>
      <c r="N38" s="66"/>
      <c r="O38" s="66"/>
      <c r="P38" s="66"/>
      <c r="Q38" s="66"/>
    </row>
    <row r="39" spans="3:17" x14ac:dyDescent="0.3">
      <c r="C39" s="66"/>
      <c r="D39" s="131" t="s">
        <v>5</v>
      </c>
      <c r="E39" s="132"/>
      <c r="F39" s="66"/>
      <c r="G39" s="66"/>
      <c r="H39" s="66"/>
      <c r="I39" s="66"/>
      <c r="J39" s="66"/>
      <c r="K39" s="66"/>
      <c r="L39" s="66"/>
      <c r="M39" s="66"/>
      <c r="N39" s="66"/>
      <c r="O39" s="66"/>
      <c r="P39" s="66"/>
      <c r="Q39" s="66"/>
    </row>
    <row r="40" spans="3:17" x14ac:dyDescent="0.3">
      <c r="C40" s="66"/>
      <c r="D40" s="124" t="s">
        <v>115</v>
      </c>
      <c r="E40" s="126"/>
      <c r="F40" s="66"/>
      <c r="G40" s="66"/>
      <c r="H40" s="66"/>
      <c r="I40" s="66"/>
      <c r="J40" s="66"/>
      <c r="K40" s="66"/>
      <c r="L40" s="66"/>
      <c r="M40" s="66"/>
      <c r="N40" s="66"/>
      <c r="O40" s="66"/>
      <c r="P40" s="66"/>
      <c r="Q40" s="66"/>
    </row>
    <row r="41" spans="3:17" x14ac:dyDescent="0.3">
      <c r="C41" s="66"/>
      <c r="D41" s="120" t="s">
        <v>116</v>
      </c>
      <c r="E41" s="126">
        <f>'Rate Summary'!I50</f>
        <v>300</v>
      </c>
      <c r="F41" s="66"/>
      <c r="G41" s="66"/>
      <c r="H41" s="66"/>
      <c r="I41" s="66"/>
      <c r="J41" s="66"/>
      <c r="K41" s="66"/>
      <c r="L41" s="66"/>
      <c r="M41" s="66"/>
      <c r="N41" s="66"/>
      <c r="O41" s="66"/>
      <c r="P41" s="66"/>
      <c r="Q41" s="66"/>
    </row>
    <row r="42" spans="3:17" x14ac:dyDescent="0.3">
      <c r="C42" s="66"/>
      <c r="D42" s="119" t="s">
        <v>121</v>
      </c>
      <c r="E42" s="126"/>
      <c r="F42" s="66"/>
      <c r="G42" s="66"/>
      <c r="H42" s="66"/>
      <c r="I42" s="66"/>
      <c r="J42" s="66"/>
      <c r="K42" s="66"/>
      <c r="L42" s="66"/>
      <c r="M42" s="66"/>
      <c r="N42" s="66"/>
      <c r="O42" s="66"/>
      <c r="P42" s="66"/>
      <c r="Q42" s="66"/>
    </row>
    <row r="43" spans="3:17" x14ac:dyDescent="0.3">
      <c r="C43" s="66"/>
      <c r="D43" s="121" t="s">
        <v>117</v>
      </c>
      <c r="E43" s="126">
        <f>'Rate Summary'!I53</f>
        <v>0.219</v>
      </c>
      <c r="F43" s="66"/>
      <c r="G43" s="66"/>
      <c r="H43" s="66"/>
      <c r="I43" s="66"/>
      <c r="J43" s="66"/>
      <c r="K43" s="66"/>
      <c r="L43" s="66"/>
      <c r="M43" s="66"/>
      <c r="N43" s="66"/>
      <c r="O43" s="66"/>
      <c r="P43" s="66"/>
      <c r="Q43" s="66"/>
    </row>
    <row r="44" spans="3:17" x14ac:dyDescent="0.3">
      <c r="C44" s="66"/>
      <c r="D44" s="121" t="s">
        <v>118</v>
      </c>
      <c r="E44" s="126">
        <f>'Rate Summary'!I54</f>
        <v>6.2E-2</v>
      </c>
      <c r="F44" s="66"/>
      <c r="G44" s="66"/>
      <c r="H44" s="66"/>
      <c r="I44" s="66"/>
      <c r="J44" s="66"/>
      <c r="K44" s="66"/>
      <c r="L44" s="66"/>
      <c r="M44" s="66"/>
      <c r="N44" s="66"/>
      <c r="O44" s="66"/>
      <c r="P44" s="66"/>
      <c r="Q44" s="66"/>
    </row>
    <row r="45" spans="3:17" x14ac:dyDescent="0.3">
      <c r="C45" s="66"/>
      <c r="D45" s="119" t="s">
        <v>122</v>
      </c>
      <c r="E45" s="126"/>
      <c r="F45" s="66"/>
      <c r="G45" s="66"/>
      <c r="H45" s="66"/>
      <c r="I45" s="66"/>
      <c r="J45" s="66"/>
      <c r="K45" s="66"/>
      <c r="L45" s="66"/>
      <c r="M45" s="66"/>
      <c r="N45" s="66"/>
      <c r="O45" s="66"/>
      <c r="P45" s="66"/>
      <c r="Q45" s="66"/>
    </row>
    <row r="46" spans="3:17" x14ac:dyDescent="0.3">
      <c r="C46" s="66"/>
      <c r="D46" s="122" t="s">
        <v>119</v>
      </c>
      <c r="E46" s="126">
        <f>'Rate Summary'!I51</f>
        <v>18</v>
      </c>
      <c r="F46" s="66"/>
      <c r="G46" s="66"/>
      <c r="H46" s="66"/>
      <c r="I46" s="66"/>
      <c r="J46" s="66"/>
      <c r="K46" s="66"/>
      <c r="L46" s="66"/>
      <c r="M46" s="66"/>
      <c r="N46" s="66"/>
      <c r="O46" s="66"/>
      <c r="P46" s="66"/>
      <c r="Q46" s="66"/>
    </row>
    <row r="47" spans="3:17" x14ac:dyDescent="0.3">
      <c r="C47" s="66"/>
      <c r="D47" s="123" t="s">
        <v>120</v>
      </c>
      <c r="E47" s="106"/>
      <c r="F47" s="66"/>
      <c r="G47" s="66"/>
      <c r="H47" s="66"/>
      <c r="I47" s="66"/>
      <c r="J47" s="66"/>
      <c r="K47" s="66"/>
      <c r="L47" s="66"/>
      <c r="M47" s="66"/>
      <c r="N47" s="66"/>
      <c r="O47" s="66"/>
      <c r="P47" s="66"/>
      <c r="Q47" s="66"/>
    </row>
    <row r="48" spans="3:17" x14ac:dyDescent="0.3">
      <c r="C48" s="66"/>
      <c r="D48" s="121" t="s">
        <v>117</v>
      </c>
      <c r="E48" s="127">
        <v>1.1200000000000001</v>
      </c>
      <c r="F48" s="66"/>
      <c r="G48" s="66"/>
      <c r="H48" s="66"/>
      <c r="I48" s="66"/>
      <c r="J48" s="66"/>
      <c r="K48" s="66"/>
      <c r="L48" s="66"/>
      <c r="M48" s="66"/>
      <c r="N48" s="66"/>
      <c r="O48" s="66"/>
      <c r="P48" s="66"/>
      <c r="Q48" s="66"/>
    </row>
    <row r="49" spans="3:17" x14ac:dyDescent="0.3">
      <c r="C49" s="66"/>
      <c r="D49" s="121" t="s">
        <v>118</v>
      </c>
      <c r="E49" s="127">
        <v>0.92</v>
      </c>
      <c r="F49" s="66"/>
      <c r="G49" s="66"/>
      <c r="H49" s="66"/>
      <c r="I49" s="66"/>
      <c r="J49" s="66"/>
      <c r="K49" s="66"/>
      <c r="L49" s="66"/>
      <c r="M49" s="66"/>
      <c r="N49" s="66"/>
      <c r="O49" s="66"/>
      <c r="P49" s="66"/>
      <c r="Q49" s="66"/>
    </row>
    <row r="50" spans="3:17" x14ac:dyDescent="0.3">
      <c r="C50" s="66"/>
      <c r="D50" s="121" t="s">
        <v>107</v>
      </c>
      <c r="E50" s="195">
        <f>H36</f>
        <v>0.17499999999999999</v>
      </c>
      <c r="F50" s="66"/>
      <c r="G50" s="66"/>
      <c r="H50" s="66"/>
      <c r="I50" s="66"/>
      <c r="J50" s="66"/>
      <c r="K50" s="66"/>
      <c r="L50" s="66"/>
      <c r="M50" s="66"/>
      <c r="N50" s="66"/>
      <c r="O50" s="66"/>
      <c r="P50" s="66"/>
      <c r="Q50" s="66"/>
    </row>
    <row r="51" spans="3:17" x14ac:dyDescent="0.3">
      <c r="C51" s="66"/>
      <c r="D51" s="121"/>
      <c r="E51" s="196">
        <v>2024</v>
      </c>
      <c r="F51" s="196"/>
      <c r="G51" s="196"/>
      <c r="H51" s="66"/>
      <c r="I51" s="66"/>
      <c r="J51" s="66"/>
      <c r="K51" s="66"/>
      <c r="L51" s="66"/>
      <c r="M51" s="66"/>
      <c r="N51" s="66"/>
      <c r="O51" s="66"/>
      <c r="P51" s="66"/>
      <c r="Q51" s="66"/>
    </row>
    <row r="52" spans="3:17" x14ac:dyDescent="0.3">
      <c r="C52" s="66"/>
      <c r="D52" s="121" t="s">
        <v>18</v>
      </c>
      <c r="E52" s="128">
        <f>'CETR Rate'!H12</f>
        <v>1.74E-4</v>
      </c>
      <c r="F52" s="128"/>
      <c r="G52" s="128"/>
      <c r="H52" s="66"/>
      <c r="I52" s="66"/>
      <c r="J52" s="66"/>
      <c r="K52" s="66"/>
      <c r="L52" s="66"/>
      <c r="M52" s="66"/>
      <c r="N52" s="66"/>
      <c r="O52" s="66"/>
      <c r="P52" s="66"/>
      <c r="Q52" s="66"/>
    </row>
    <row r="53" spans="3:17" x14ac:dyDescent="0.3">
      <c r="C53" s="66"/>
      <c r="D53" s="66"/>
      <c r="E53" s="66"/>
      <c r="F53" s="66"/>
      <c r="G53" s="66"/>
      <c r="H53" s="66"/>
      <c r="I53" s="66"/>
      <c r="J53" s="66"/>
      <c r="K53" s="66"/>
      <c r="L53" s="66"/>
      <c r="M53" s="66"/>
      <c r="N53" s="66"/>
      <c r="O53" s="66"/>
      <c r="P53" s="66"/>
      <c r="Q53" s="66"/>
    </row>
    <row r="54" spans="3:17" x14ac:dyDescent="0.3">
      <c r="C54" s="66"/>
      <c r="D54" s="66"/>
      <c r="E54" s="66"/>
      <c r="F54" s="66"/>
      <c r="G54" s="66"/>
      <c r="H54" s="66"/>
      <c r="I54" s="66"/>
      <c r="J54" s="66"/>
      <c r="K54" s="66"/>
      <c r="L54" s="66"/>
      <c r="M54" s="66"/>
      <c r="N54" s="66"/>
      <c r="O54" s="66"/>
      <c r="P54" s="66"/>
      <c r="Q54" s="66"/>
    </row>
    <row r="55" spans="3:17" x14ac:dyDescent="0.3">
      <c r="C55" s="66"/>
      <c r="D55" s="66"/>
      <c r="E55" s="251" t="s">
        <v>149</v>
      </c>
      <c r="F55" s="252"/>
      <c r="G55" s="253"/>
      <c r="H55" s="251" t="s">
        <v>148</v>
      </c>
      <c r="I55" s="252"/>
      <c r="J55" s="253"/>
      <c r="K55" s="66"/>
      <c r="L55" s="66"/>
      <c r="M55" s="66"/>
      <c r="N55" s="66"/>
      <c r="O55" s="66"/>
      <c r="P55" s="66"/>
      <c r="Q55" s="66"/>
    </row>
    <row r="56" spans="3:17" ht="43.2" x14ac:dyDescent="0.3">
      <c r="C56" s="66"/>
      <c r="D56" s="66"/>
      <c r="E56" s="117" t="s">
        <v>15</v>
      </c>
      <c r="F56" s="100" t="s">
        <v>107</v>
      </c>
      <c r="G56" s="100" t="s">
        <v>108</v>
      </c>
      <c r="H56" s="100">
        <v>2024</v>
      </c>
      <c r="I56" s="100"/>
      <c r="J56" s="100"/>
      <c r="K56" s="66"/>
      <c r="L56" s="66"/>
      <c r="M56" s="66"/>
      <c r="N56" s="66"/>
      <c r="O56" s="66"/>
      <c r="P56" s="66"/>
      <c r="Q56" s="66"/>
    </row>
    <row r="57" spans="3:17" x14ac:dyDescent="0.3">
      <c r="C57" s="66"/>
      <c r="D57" s="125" t="s">
        <v>6</v>
      </c>
      <c r="E57" s="118">
        <f>'Rate Summary'!I60</f>
        <v>7.04</v>
      </c>
      <c r="F57" s="116">
        <v>0.17499999999999999</v>
      </c>
      <c r="G57" s="104">
        <f>I36</f>
        <v>0.45109101248895617</v>
      </c>
      <c r="H57" s="104">
        <f>'CETR Rate'!H13</f>
        <v>1.7699999999999999E-4</v>
      </c>
      <c r="I57" s="104"/>
      <c r="J57" s="104"/>
      <c r="K57" s="66"/>
      <c r="L57" s="66"/>
      <c r="M57" s="66"/>
      <c r="N57" s="66"/>
      <c r="O57" s="66"/>
      <c r="P57" s="66"/>
      <c r="Q57" s="66"/>
    </row>
    <row r="58" spans="3:17" x14ac:dyDescent="0.3">
      <c r="C58" s="66"/>
      <c r="D58" s="66"/>
      <c r="E58" s="66"/>
      <c r="F58" s="66"/>
      <c r="G58" s="66"/>
      <c r="H58" s="66"/>
      <c r="I58" s="66"/>
      <c r="J58" s="66"/>
      <c r="K58" s="66"/>
      <c r="L58" s="66"/>
      <c r="M58" s="66"/>
      <c r="N58" s="66"/>
      <c r="O58" s="66"/>
      <c r="P58" s="66"/>
      <c r="Q58" s="66"/>
    </row>
    <row r="59" spans="3:17" x14ac:dyDescent="0.3">
      <c r="C59" s="66"/>
      <c r="D59" s="66"/>
      <c r="E59" s="66"/>
      <c r="F59" s="66"/>
      <c r="G59" s="66"/>
      <c r="H59" s="66"/>
      <c r="I59" s="66"/>
      <c r="J59" s="66"/>
      <c r="K59" s="66"/>
      <c r="L59" s="66"/>
      <c r="M59" s="66"/>
      <c r="N59" s="66"/>
      <c r="O59" s="66"/>
      <c r="P59" s="66"/>
      <c r="Q59" s="66"/>
    </row>
  </sheetData>
  <mergeCells count="16">
    <mergeCell ref="H55:J55"/>
    <mergeCell ref="E55:G55"/>
    <mergeCell ref="J34:L34"/>
    <mergeCell ref="E34:I34"/>
    <mergeCell ref="D17:F17"/>
    <mergeCell ref="D27:F27"/>
    <mergeCell ref="K26:M26"/>
    <mergeCell ref="D25:M25"/>
    <mergeCell ref="G26:J26"/>
    <mergeCell ref="D7:F7"/>
    <mergeCell ref="K6:M6"/>
    <mergeCell ref="D5:M5"/>
    <mergeCell ref="G6:J6"/>
    <mergeCell ref="K16:M16"/>
    <mergeCell ref="G16:J16"/>
    <mergeCell ref="D15:M15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041AF2-C7B9-4C3C-AE93-08C73053B77C}">
  <dimension ref="A1:J83"/>
  <sheetViews>
    <sheetView topLeftCell="E1" workbookViewId="0">
      <selection activeCell="F4" sqref="F4"/>
    </sheetView>
  </sheetViews>
  <sheetFormatPr defaultColWidth="9.109375" defaultRowHeight="14.4" outlineLevelCol="1" x14ac:dyDescent="0.3"/>
  <cols>
    <col min="1" max="1" width="50.6640625" style="15" hidden="1" customWidth="1" outlineLevel="1"/>
    <col min="2" max="2" width="19.88671875" style="16" hidden="1" customWidth="1" outlineLevel="1"/>
    <col min="3" max="3" width="17.88671875" style="16" hidden="1" customWidth="1" outlineLevel="1"/>
    <col min="4" max="4" width="50.88671875" style="16" hidden="1" customWidth="1" outlineLevel="1"/>
    <col min="5" max="5" width="9.21875" customWidth="1" collapsed="1"/>
    <col min="6" max="6" width="37.6640625" bestFit="1" customWidth="1"/>
    <col min="7" max="7" width="26.5546875" style="17" bestFit="1" customWidth="1"/>
    <col min="8" max="8" width="32.33203125" style="53" bestFit="1" customWidth="1"/>
    <col min="9" max="9" width="17.88671875" style="54" customWidth="1"/>
    <col min="10" max="10" width="15.33203125" customWidth="1"/>
  </cols>
  <sheetData>
    <row r="1" spans="1:10" x14ac:dyDescent="0.3">
      <c r="H1" s="17"/>
      <c r="I1" s="17"/>
    </row>
    <row r="2" spans="1:10" x14ac:dyDescent="0.3">
      <c r="A2" s="15" t="s">
        <v>19</v>
      </c>
      <c r="B2" s="16" t="s">
        <v>20</v>
      </c>
      <c r="C2" s="16" t="s">
        <v>21</v>
      </c>
      <c r="D2" s="16" t="s">
        <v>22</v>
      </c>
      <c r="F2" s="18" t="s">
        <v>23</v>
      </c>
      <c r="G2"/>
      <c r="H2" s="19"/>
      <c r="I2" s="20"/>
    </row>
    <row r="3" spans="1:10" ht="15" thickBot="1" x14ac:dyDescent="0.35">
      <c r="F3" s="18" t="str">
        <f>"SUMMARY OF CURRENT &amp; PROPOSED TARIFFS"&amp;"-"&amp;'CETR Rate'!D3</f>
        <v>SUMMARY OF CURRENT &amp; PROPOSED TARIFFS-Distributed Energy Resources Aggregation &amp; Control Platform</v>
      </c>
      <c r="G3"/>
      <c r="H3" s="21"/>
      <c r="I3" s="20"/>
      <c r="J3" s="22"/>
    </row>
    <row r="4" spans="1:10" x14ac:dyDescent="0.3">
      <c r="A4" s="15" t="s">
        <v>24</v>
      </c>
      <c r="F4" s="23"/>
      <c r="G4" s="24"/>
      <c r="H4" s="25"/>
      <c r="I4" s="26"/>
      <c r="J4" s="209"/>
    </row>
    <row r="5" spans="1:10" x14ac:dyDescent="0.3">
      <c r="A5" s="15" t="s">
        <v>24</v>
      </c>
      <c r="F5" s="27"/>
      <c r="G5" s="28"/>
      <c r="H5" s="29"/>
      <c r="I5" s="18"/>
      <c r="J5" s="210"/>
    </row>
    <row r="6" spans="1:10" x14ac:dyDescent="0.3">
      <c r="A6" s="15" t="s">
        <v>24</v>
      </c>
      <c r="F6" s="27"/>
      <c r="G6" s="28"/>
      <c r="H6" s="29"/>
      <c r="I6" s="18"/>
      <c r="J6" s="210"/>
    </row>
    <row r="7" spans="1:10" x14ac:dyDescent="0.3">
      <c r="A7" s="15" t="s">
        <v>24</v>
      </c>
      <c r="F7" s="30" t="s">
        <v>25</v>
      </c>
      <c r="G7" s="31" t="s">
        <v>26</v>
      </c>
      <c r="H7" s="32"/>
      <c r="I7" s="31" t="s">
        <v>28</v>
      </c>
      <c r="J7" s="211" t="s">
        <v>27</v>
      </c>
    </row>
    <row r="8" spans="1:10" x14ac:dyDescent="0.3">
      <c r="A8" s="15" t="s">
        <v>24</v>
      </c>
      <c r="F8" s="33"/>
      <c r="G8" s="34"/>
      <c r="H8" s="35"/>
      <c r="I8" s="36" t="s">
        <v>29</v>
      </c>
      <c r="J8" s="36" t="s">
        <v>29</v>
      </c>
    </row>
    <row r="9" spans="1:10" x14ac:dyDescent="0.3">
      <c r="A9" s="15" t="s">
        <v>24</v>
      </c>
      <c r="F9" s="27"/>
      <c r="G9" s="28"/>
      <c r="H9" s="35" t="s">
        <v>30</v>
      </c>
      <c r="I9" s="36" t="s">
        <v>31</v>
      </c>
      <c r="J9" s="36" t="s">
        <v>31</v>
      </c>
    </row>
    <row r="10" spans="1:10" x14ac:dyDescent="0.3">
      <c r="A10" s="15" t="s">
        <v>24</v>
      </c>
      <c r="F10" s="37"/>
      <c r="G10" s="38"/>
      <c r="H10" s="39"/>
      <c r="I10" s="202" t="s">
        <v>153</v>
      </c>
      <c r="J10" s="201">
        <v>2024</v>
      </c>
    </row>
    <row r="11" spans="1:10" x14ac:dyDescent="0.3">
      <c r="A11" s="15" t="s">
        <v>24</v>
      </c>
      <c r="F11" s="57" t="s">
        <v>0</v>
      </c>
      <c r="G11" s="56"/>
      <c r="H11" s="55"/>
      <c r="I11" s="58"/>
      <c r="J11" s="58"/>
    </row>
    <row r="12" spans="1:10" x14ac:dyDescent="0.3">
      <c r="A12" s="15" t="s">
        <v>24</v>
      </c>
      <c r="F12" s="222"/>
      <c r="G12" s="34" t="s">
        <v>32</v>
      </c>
      <c r="H12" s="40" t="s">
        <v>33</v>
      </c>
      <c r="I12" s="43">
        <v>7</v>
      </c>
      <c r="J12" s="43">
        <v>7</v>
      </c>
    </row>
    <row r="13" spans="1:10" x14ac:dyDescent="0.3">
      <c r="A13" s="15" t="s">
        <v>24</v>
      </c>
      <c r="F13" s="222"/>
      <c r="G13" s="34"/>
      <c r="H13" s="40" t="s">
        <v>34</v>
      </c>
      <c r="I13" s="43">
        <v>12</v>
      </c>
      <c r="J13" s="43">
        <v>12</v>
      </c>
    </row>
    <row r="14" spans="1:10" x14ac:dyDescent="0.3">
      <c r="A14" s="15" t="s">
        <v>24</v>
      </c>
      <c r="F14" s="222"/>
      <c r="G14" s="34"/>
      <c r="H14" s="40" t="s">
        <v>35</v>
      </c>
      <c r="I14" s="43">
        <v>17</v>
      </c>
      <c r="J14" s="43">
        <v>17</v>
      </c>
    </row>
    <row r="15" spans="1:10" x14ac:dyDescent="0.3">
      <c r="A15" s="15" t="s">
        <v>36</v>
      </c>
      <c r="D15" s="16" t="s">
        <v>37</v>
      </c>
      <c r="F15" s="222"/>
      <c r="G15" s="34" t="s">
        <v>38</v>
      </c>
      <c r="H15" s="44" t="s">
        <v>39</v>
      </c>
      <c r="I15" s="45" t="s">
        <v>40</v>
      </c>
      <c r="J15" s="45" t="s">
        <v>40</v>
      </c>
    </row>
    <row r="16" spans="1:10" x14ac:dyDescent="0.3">
      <c r="A16" s="15" t="s">
        <v>41</v>
      </c>
      <c r="B16" s="16" t="s">
        <v>42</v>
      </c>
      <c r="C16" s="16" t="s">
        <v>43</v>
      </c>
      <c r="D16" s="16" t="s">
        <v>44</v>
      </c>
      <c r="F16" s="222"/>
      <c r="G16" s="34" t="s">
        <v>45</v>
      </c>
      <c r="H16" s="40" t="s">
        <v>46</v>
      </c>
      <c r="I16" s="46">
        <v>0.16</v>
      </c>
      <c r="J16" s="46">
        <v>0.16</v>
      </c>
    </row>
    <row r="17" spans="1:10" x14ac:dyDescent="0.3">
      <c r="A17" s="15" t="s">
        <v>47</v>
      </c>
      <c r="B17" s="16" t="s">
        <v>42</v>
      </c>
      <c r="C17" s="16" t="s">
        <v>43</v>
      </c>
      <c r="D17" s="16" t="s">
        <v>48</v>
      </c>
      <c r="F17" s="222"/>
      <c r="G17" s="34"/>
      <c r="H17" s="40" t="s">
        <v>49</v>
      </c>
      <c r="I17" s="46">
        <v>0.19600000000000001</v>
      </c>
      <c r="J17" s="46">
        <v>0.19600000000000001</v>
      </c>
    </row>
    <row r="18" spans="1:10" x14ac:dyDescent="0.3">
      <c r="A18" s="15" t="s">
        <v>50</v>
      </c>
      <c r="B18" s="16" t="s">
        <v>42</v>
      </c>
      <c r="C18" s="16" t="s">
        <v>43</v>
      </c>
      <c r="D18" s="16" t="s">
        <v>51</v>
      </c>
      <c r="F18" s="222"/>
      <c r="G18" s="34"/>
      <c r="H18" s="40" t="s">
        <v>52</v>
      </c>
      <c r="I18" s="46">
        <v>0.22500000000000001</v>
      </c>
      <c r="J18" s="46">
        <v>0.22500000000000001</v>
      </c>
    </row>
    <row r="19" spans="1:10" x14ac:dyDescent="0.3">
      <c r="A19" s="15" t="s">
        <v>53</v>
      </c>
      <c r="B19" s="16" t="s">
        <v>42</v>
      </c>
      <c r="C19" s="16" t="s">
        <v>43</v>
      </c>
      <c r="D19" s="16" t="s">
        <v>54</v>
      </c>
      <c r="F19" s="222"/>
      <c r="G19" s="42"/>
      <c r="H19" s="40" t="s">
        <v>55</v>
      </c>
      <c r="I19" s="46">
        <v>0.254</v>
      </c>
      <c r="J19" s="46">
        <v>0.254</v>
      </c>
    </row>
    <row r="20" spans="1:10" x14ac:dyDescent="0.3">
      <c r="F20" s="47"/>
      <c r="G20" s="48" t="s">
        <v>94</v>
      </c>
      <c r="H20" s="61" t="s">
        <v>83</v>
      </c>
      <c r="I20" s="62" t="s">
        <v>40</v>
      </c>
      <c r="J20" s="63">
        <f>'CETR Rate'!H7</f>
        <v>1.7699999999999999E-4</v>
      </c>
    </row>
    <row r="21" spans="1:10" x14ac:dyDescent="0.3">
      <c r="A21" s="15" t="s">
        <v>24</v>
      </c>
      <c r="F21" s="27" t="s">
        <v>56</v>
      </c>
      <c r="G21" s="42"/>
      <c r="H21" s="40"/>
      <c r="I21" s="41"/>
      <c r="J21" s="41"/>
    </row>
    <row r="22" spans="1:10" x14ac:dyDescent="0.3">
      <c r="A22" s="15" t="s">
        <v>24</v>
      </c>
      <c r="F22" s="222"/>
      <c r="G22" s="34" t="s">
        <v>32</v>
      </c>
      <c r="H22" s="44" t="s">
        <v>39</v>
      </c>
      <c r="I22" s="45" t="s">
        <v>40</v>
      </c>
      <c r="J22" s="45" t="s">
        <v>40</v>
      </c>
    </row>
    <row r="23" spans="1:10" x14ac:dyDescent="0.3">
      <c r="A23" s="15" t="s">
        <v>57</v>
      </c>
      <c r="D23" s="16" t="s">
        <v>58</v>
      </c>
      <c r="F23" s="222"/>
      <c r="G23" s="34" t="s">
        <v>38</v>
      </c>
      <c r="H23" s="44" t="s">
        <v>39</v>
      </c>
      <c r="I23" s="45" t="s">
        <v>40</v>
      </c>
      <c r="J23" s="45" t="s">
        <v>40</v>
      </c>
    </row>
    <row r="24" spans="1:10" x14ac:dyDescent="0.3">
      <c r="A24" s="15" t="s">
        <v>59</v>
      </c>
      <c r="B24" s="16" t="s">
        <v>56</v>
      </c>
      <c r="C24" s="16" t="s">
        <v>43</v>
      </c>
      <c r="D24" s="16" t="s">
        <v>44</v>
      </c>
      <c r="F24" s="222"/>
      <c r="G24" s="34" t="s">
        <v>45</v>
      </c>
      <c r="H24" s="44" t="s">
        <v>46</v>
      </c>
      <c r="I24" s="41">
        <v>0.13341789607515658</v>
      </c>
      <c r="J24" s="41">
        <v>0.13341789607515658</v>
      </c>
    </row>
    <row r="25" spans="1:10" x14ac:dyDescent="0.3">
      <c r="A25" s="15" t="s">
        <v>60</v>
      </c>
      <c r="B25" s="16" t="s">
        <v>56</v>
      </c>
      <c r="C25" s="16" t="s">
        <v>43</v>
      </c>
      <c r="D25" s="16" t="s">
        <v>48</v>
      </c>
      <c r="F25" s="222"/>
      <c r="G25" s="34"/>
      <c r="H25" s="44" t="s">
        <v>49</v>
      </c>
      <c r="I25" s="41">
        <v>0.15748000000000001</v>
      </c>
      <c r="J25" s="41">
        <v>0.15748000000000001</v>
      </c>
    </row>
    <row r="26" spans="1:10" x14ac:dyDescent="0.3">
      <c r="A26" s="15" t="s">
        <v>61</v>
      </c>
      <c r="B26" s="16" t="s">
        <v>56</v>
      </c>
      <c r="C26" s="16" t="s">
        <v>43</v>
      </c>
      <c r="D26" s="16" t="s">
        <v>51</v>
      </c>
      <c r="F26" s="222"/>
      <c r="G26" s="34"/>
      <c r="H26" s="44" t="s">
        <v>52</v>
      </c>
      <c r="I26" s="41">
        <v>0.2268</v>
      </c>
      <c r="J26" s="41">
        <v>0.2268</v>
      </c>
    </row>
    <row r="27" spans="1:10" x14ac:dyDescent="0.3">
      <c r="F27" s="222"/>
      <c r="G27" s="34"/>
      <c r="H27" s="44" t="s">
        <v>63</v>
      </c>
      <c r="I27" s="41">
        <v>0.25452000000000002</v>
      </c>
      <c r="J27" s="41">
        <v>0.25452000000000002</v>
      </c>
    </row>
    <row r="28" spans="1:10" x14ac:dyDescent="0.3">
      <c r="A28" s="15" t="s">
        <v>62</v>
      </c>
      <c r="B28" s="16" t="s">
        <v>56</v>
      </c>
      <c r="C28" s="16" t="s">
        <v>43</v>
      </c>
      <c r="D28" s="16" t="s">
        <v>54</v>
      </c>
      <c r="F28" s="225"/>
      <c r="G28" s="48" t="s">
        <v>94</v>
      </c>
      <c r="H28" s="61" t="s">
        <v>83</v>
      </c>
      <c r="I28" s="62" t="s">
        <v>40</v>
      </c>
      <c r="J28" s="63">
        <f>'CETR Rate'!H8</f>
        <v>1.7699999999999999E-4</v>
      </c>
    </row>
    <row r="29" spans="1:10" x14ac:dyDescent="0.3">
      <c r="A29" s="15" t="s">
        <v>24</v>
      </c>
      <c r="F29" s="27" t="s">
        <v>2</v>
      </c>
      <c r="G29" s="34"/>
      <c r="H29" s="40"/>
      <c r="I29" s="41"/>
      <c r="J29" s="41"/>
    </row>
    <row r="30" spans="1:10" x14ac:dyDescent="0.3">
      <c r="A30" s="15" t="s">
        <v>24</v>
      </c>
      <c r="F30" s="222"/>
      <c r="G30" s="34" t="s">
        <v>32</v>
      </c>
      <c r="H30" s="40" t="s">
        <v>64</v>
      </c>
      <c r="I30" s="43">
        <v>10</v>
      </c>
      <c r="J30" s="43">
        <v>10</v>
      </c>
    </row>
    <row r="31" spans="1:10" x14ac:dyDescent="0.3">
      <c r="A31" s="15" t="s">
        <v>24</v>
      </c>
      <c r="F31" s="222"/>
      <c r="G31" s="34"/>
      <c r="H31" s="40" t="s">
        <v>65</v>
      </c>
      <c r="I31" s="43">
        <v>13</v>
      </c>
      <c r="J31" s="43">
        <v>13</v>
      </c>
    </row>
    <row r="32" spans="1:10" x14ac:dyDescent="0.3">
      <c r="A32" s="15" t="s">
        <v>24</v>
      </c>
      <c r="F32" s="222"/>
      <c r="G32" s="34"/>
      <c r="H32" s="40" t="s">
        <v>35</v>
      </c>
      <c r="I32" s="43">
        <v>19</v>
      </c>
      <c r="J32" s="43">
        <v>19</v>
      </c>
    </row>
    <row r="33" spans="1:10" x14ac:dyDescent="0.3">
      <c r="A33" s="15" t="s">
        <v>66</v>
      </c>
      <c r="D33" s="16" t="s">
        <v>67</v>
      </c>
      <c r="F33" s="222"/>
      <c r="G33" s="34" t="s">
        <v>38</v>
      </c>
      <c r="H33" s="44" t="s">
        <v>39</v>
      </c>
      <c r="I33" s="45" t="s">
        <v>40</v>
      </c>
      <c r="J33" s="45" t="s">
        <v>40</v>
      </c>
    </row>
    <row r="34" spans="1:10" x14ac:dyDescent="0.3">
      <c r="A34" s="15" t="s">
        <v>68</v>
      </c>
      <c r="B34" s="16" t="s">
        <v>2</v>
      </c>
      <c r="C34" s="16" t="s">
        <v>43</v>
      </c>
      <c r="D34" s="16" t="s">
        <v>69</v>
      </c>
      <c r="F34" s="222"/>
      <c r="G34" s="34" t="s">
        <v>45</v>
      </c>
      <c r="H34" s="40" t="s">
        <v>70</v>
      </c>
      <c r="I34" s="41">
        <v>0.19400000000000001</v>
      </c>
      <c r="J34" s="41">
        <v>0.19400000000000001</v>
      </c>
    </row>
    <row r="35" spans="1:10" x14ac:dyDescent="0.3">
      <c r="A35" s="15" t="s">
        <v>71</v>
      </c>
      <c r="B35" s="16" t="s">
        <v>2</v>
      </c>
      <c r="C35" s="16" t="s">
        <v>43</v>
      </c>
      <c r="D35" s="16" t="s">
        <v>72</v>
      </c>
      <c r="F35" s="222"/>
      <c r="G35" s="34"/>
      <c r="H35" s="40" t="s">
        <v>73</v>
      </c>
      <c r="I35" s="41">
        <v>0.23699999999999999</v>
      </c>
      <c r="J35" s="41">
        <v>0.23699999999999999</v>
      </c>
    </row>
    <row r="36" spans="1:10" x14ac:dyDescent="0.3">
      <c r="A36" s="15" t="s">
        <v>74</v>
      </c>
      <c r="B36" s="16" t="s">
        <v>2</v>
      </c>
      <c r="C36" s="16" t="s">
        <v>43</v>
      </c>
      <c r="D36" s="16" t="s">
        <v>51</v>
      </c>
      <c r="F36" s="222"/>
      <c r="G36" s="34"/>
      <c r="H36" s="40" t="s">
        <v>52</v>
      </c>
      <c r="I36" s="41">
        <v>0.28399999999999997</v>
      </c>
      <c r="J36" s="41">
        <v>0.28399999999999997</v>
      </c>
    </row>
    <row r="37" spans="1:10" x14ac:dyDescent="0.3">
      <c r="F37" s="222"/>
      <c r="G37" s="34"/>
      <c r="H37" s="40" t="s">
        <v>63</v>
      </c>
      <c r="I37" s="41">
        <v>0.32</v>
      </c>
      <c r="J37" s="41">
        <v>0.32</v>
      </c>
    </row>
    <row r="38" spans="1:10" x14ac:dyDescent="0.3">
      <c r="A38" s="15" t="s">
        <v>75</v>
      </c>
      <c r="B38" s="16" t="s">
        <v>2</v>
      </c>
      <c r="C38" s="16" t="s">
        <v>43</v>
      </c>
      <c r="D38" s="16" t="s">
        <v>54</v>
      </c>
      <c r="F38" s="225"/>
      <c r="G38" s="48" t="s">
        <v>94</v>
      </c>
      <c r="H38" s="61" t="s">
        <v>83</v>
      </c>
      <c r="I38" s="62" t="s">
        <v>40</v>
      </c>
      <c r="J38" s="63">
        <f>'CETR Rate'!H9</f>
        <v>1.7699999999999999E-4</v>
      </c>
    </row>
    <row r="39" spans="1:10" x14ac:dyDescent="0.3">
      <c r="A39" s="15" t="s">
        <v>24</v>
      </c>
      <c r="F39" s="27" t="s">
        <v>4</v>
      </c>
      <c r="G39" s="34"/>
      <c r="H39" s="40"/>
      <c r="I39" s="41"/>
      <c r="J39" s="41"/>
    </row>
    <row r="40" spans="1:10" x14ac:dyDescent="0.3">
      <c r="A40" s="15" t="s">
        <v>24</v>
      </c>
      <c r="F40" s="222"/>
      <c r="G40" s="34" t="s">
        <v>32</v>
      </c>
      <c r="H40" s="44" t="s">
        <v>76</v>
      </c>
      <c r="I40" s="43">
        <v>94.5</v>
      </c>
      <c r="J40" s="43">
        <v>94.5</v>
      </c>
    </row>
    <row r="41" spans="1:10" x14ac:dyDescent="0.3">
      <c r="A41" s="15" t="s">
        <v>77</v>
      </c>
      <c r="D41" s="16" t="s">
        <v>78</v>
      </c>
      <c r="F41" s="222"/>
      <c r="G41" s="34" t="s">
        <v>38</v>
      </c>
      <c r="H41" s="44" t="s">
        <v>79</v>
      </c>
      <c r="I41" s="43">
        <v>26.41</v>
      </c>
      <c r="J41" s="43">
        <v>26.41</v>
      </c>
    </row>
    <row r="42" spans="1:10" x14ac:dyDescent="0.3">
      <c r="F42" s="222"/>
      <c r="G42" s="34" t="s">
        <v>45</v>
      </c>
      <c r="H42" s="44" t="s">
        <v>83</v>
      </c>
      <c r="I42" s="59">
        <v>0.13800000000000001</v>
      </c>
      <c r="J42" s="59">
        <v>0.13800000000000001</v>
      </c>
    </row>
    <row r="43" spans="1:10" x14ac:dyDescent="0.3">
      <c r="A43" s="15" t="s">
        <v>80</v>
      </c>
      <c r="B43" s="16" t="s">
        <v>81</v>
      </c>
      <c r="C43" s="16" t="s">
        <v>43</v>
      </c>
      <c r="D43" s="16" t="s">
        <v>82</v>
      </c>
      <c r="F43" s="225"/>
      <c r="G43" s="48" t="s">
        <v>94</v>
      </c>
      <c r="H43" s="61" t="s">
        <v>83</v>
      </c>
      <c r="I43" s="62" t="s">
        <v>40</v>
      </c>
      <c r="J43" s="63">
        <f>'CETR Rate'!H11</f>
        <v>1.76E-4</v>
      </c>
    </row>
    <row r="44" spans="1:10" x14ac:dyDescent="0.3">
      <c r="A44" s="15" t="s">
        <v>24</v>
      </c>
      <c r="F44" s="27" t="s">
        <v>3</v>
      </c>
      <c r="G44" s="34"/>
      <c r="H44" s="40"/>
      <c r="I44" s="41"/>
      <c r="J44" s="41"/>
    </row>
    <row r="45" spans="1:10" x14ac:dyDescent="0.3">
      <c r="A45" s="15" t="s">
        <v>24</v>
      </c>
      <c r="F45" s="222"/>
      <c r="G45" s="34" t="s">
        <v>32</v>
      </c>
      <c r="H45" s="44" t="s">
        <v>76</v>
      </c>
      <c r="I45" s="49">
        <v>943.5</v>
      </c>
      <c r="J45" s="49">
        <v>943.5</v>
      </c>
    </row>
    <row r="46" spans="1:10" x14ac:dyDescent="0.3">
      <c r="A46" s="15" t="s">
        <v>84</v>
      </c>
      <c r="D46" s="16" t="s">
        <v>85</v>
      </c>
      <c r="F46" s="222"/>
      <c r="G46" s="34" t="s">
        <v>38</v>
      </c>
      <c r="H46" s="44" t="s">
        <v>79</v>
      </c>
      <c r="I46" s="43">
        <v>27.65</v>
      </c>
      <c r="J46" s="43">
        <v>27.65</v>
      </c>
    </row>
    <row r="47" spans="1:10" x14ac:dyDescent="0.3">
      <c r="F47" s="222"/>
      <c r="G47" s="34" t="s">
        <v>45</v>
      </c>
      <c r="H47" s="44" t="s">
        <v>83</v>
      </c>
      <c r="I47" s="59">
        <v>0.11700000000000001</v>
      </c>
      <c r="J47" s="59">
        <v>0.11700000000000001</v>
      </c>
    </row>
    <row r="48" spans="1:10" x14ac:dyDescent="0.3">
      <c r="A48" s="15" t="s">
        <v>86</v>
      </c>
      <c r="B48" s="16" t="s">
        <v>3</v>
      </c>
      <c r="C48" s="16" t="s">
        <v>43</v>
      </c>
      <c r="D48" s="16" t="s">
        <v>82</v>
      </c>
      <c r="F48" s="225"/>
      <c r="G48" s="48" t="s">
        <v>94</v>
      </c>
      <c r="H48" s="61" t="s">
        <v>83</v>
      </c>
      <c r="I48" s="62" t="s">
        <v>40</v>
      </c>
      <c r="J48" s="63">
        <f>'CETR Rate'!H10</f>
        <v>1.74E-4</v>
      </c>
    </row>
    <row r="49" spans="1:10" x14ac:dyDescent="0.3">
      <c r="A49" s="15" t="s">
        <v>24</v>
      </c>
      <c r="F49" s="50" t="s">
        <v>87</v>
      </c>
      <c r="G49" s="34"/>
      <c r="H49" s="64"/>
      <c r="I49" s="65"/>
      <c r="J49" s="65"/>
    </row>
    <row r="50" spans="1:10" x14ac:dyDescent="0.3">
      <c r="A50" s="15" t="s">
        <v>24</v>
      </c>
      <c r="F50" s="222"/>
      <c r="G50" s="34" t="s">
        <v>32</v>
      </c>
      <c r="H50" s="44" t="s">
        <v>76</v>
      </c>
      <c r="I50" s="49">
        <v>300</v>
      </c>
      <c r="J50" s="49">
        <v>300</v>
      </c>
    </row>
    <row r="51" spans="1:10" x14ac:dyDescent="0.3">
      <c r="A51" s="15" t="s">
        <v>24</v>
      </c>
      <c r="F51" s="222"/>
      <c r="G51" s="34" t="s">
        <v>38</v>
      </c>
      <c r="H51" s="44" t="s">
        <v>79</v>
      </c>
      <c r="I51" s="43">
        <v>18</v>
      </c>
      <c r="J51" s="43">
        <v>18</v>
      </c>
    </row>
    <row r="52" spans="1:10" x14ac:dyDescent="0.3">
      <c r="A52" s="15" t="s">
        <v>24</v>
      </c>
      <c r="F52" s="222"/>
      <c r="G52" s="34"/>
      <c r="H52" s="44"/>
      <c r="I52" s="43"/>
      <c r="J52" s="43"/>
    </row>
    <row r="53" spans="1:10" x14ac:dyDescent="0.3">
      <c r="A53" s="15" t="s">
        <v>24</v>
      </c>
      <c r="F53" s="222"/>
      <c r="G53" s="34" t="s">
        <v>45</v>
      </c>
      <c r="H53" s="44" t="s">
        <v>88</v>
      </c>
      <c r="I53" s="41">
        <v>0.219</v>
      </c>
      <c r="J53" s="41">
        <v>0.219</v>
      </c>
    </row>
    <row r="54" spans="1:10" x14ac:dyDescent="0.3">
      <c r="F54" s="222"/>
      <c r="G54" s="34"/>
      <c r="H54" s="44" t="s">
        <v>89</v>
      </c>
      <c r="I54" s="41">
        <v>6.2E-2</v>
      </c>
      <c r="J54" s="41">
        <v>6.2E-2</v>
      </c>
    </row>
    <row r="55" spans="1:10" x14ac:dyDescent="0.3">
      <c r="A55" s="15" t="s">
        <v>24</v>
      </c>
      <c r="F55" s="225"/>
      <c r="G55" s="48" t="s">
        <v>94</v>
      </c>
      <c r="H55" s="61" t="s">
        <v>83</v>
      </c>
      <c r="I55" s="62" t="s">
        <v>40</v>
      </c>
      <c r="J55" s="63">
        <f>'CETR Rate'!H12</f>
        <v>1.74E-4</v>
      </c>
    </row>
    <row r="56" spans="1:10" x14ac:dyDescent="0.3">
      <c r="A56" s="15" t="s">
        <v>24</v>
      </c>
      <c r="F56" s="27" t="s">
        <v>90</v>
      </c>
      <c r="G56" s="34" t="s">
        <v>15</v>
      </c>
      <c r="H56" s="40"/>
      <c r="I56" s="60"/>
      <c r="J56" s="204"/>
    </row>
    <row r="57" spans="1:10" x14ac:dyDescent="0.3">
      <c r="A57" s="15" t="s">
        <v>24</v>
      </c>
      <c r="F57" s="222"/>
      <c r="G57" s="34"/>
      <c r="H57" s="44" t="s">
        <v>91</v>
      </c>
      <c r="I57" s="51" t="s">
        <v>40</v>
      </c>
      <c r="J57" s="205" t="s">
        <v>40</v>
      </c>
    </row>
    <row r="58" spans="1:10" x14ac:dyDescent="0.3">
      <c r="A58" s="15" t="s">
        <v>24</v>
      </c>
      <c r="F58" s="223"/>
      <c r="G58" s="34"/>
      <c r="H58" s="44" t="s">
        <v>92</v>
      </c>
      <c r="I58" s="51" t="s">
        <v>40</v>
      </c>
      <c r="J58" s="205" t="s">
        <v>40</v>
      </c>
    </row>
    <row r="59" spans="1:10" x14ac:dyDescent="0.3">
      <c r="A59" s="15" t="s">
        <v>24</v>
      </c>
      <c r="F59" s="223"/>
      <c r="G59" s="34"/>
      <c r="H59" s="44" t="s">
        <v>93</v>
      </c>
      <c r="I59" s="51" t="s">
        <v>40</v>
      </c>
      <c r="J59" s="205" t="s">
        <v>40</v>
      </c>
    </row>
    <row r="60" spans="1:10" x14ac:dyDescent="0.3">
      <c r="F60" s="223"/>
      <c r="G60" s="34"/>
      <c r="H60" s="44" t="s">
        <v>76</v>
      </c>
      <c r="I60" s="52">
        <v>7.04</v>
      </c>
      <c r="J60" s="206">
        <v>7.04</v>
      </c>
    </row>
    <row r="61" spans="1:10" x14ac:dyDescent="0.3">
      <c r="F61" s="223"/>
      <c r="G61" s="34" t="s">
        <v>38</v>
      </c>
      <c r="H61" s="44" t="s">
        <v>39</v>
      </c>
      <c r="I61" s="51" t="s">
        <v>40</v>
      </c>
      <c r="J61" s="205" t="s">
        <v>40</v>
      </c>
    </row>
    <row r="62" spans="1:10" x14ac:dyDescent="0.3">
      <c r="F62" s="223"/>
      <c r="G62" s="34" t="s">
        <v>45</v>
      </c>
      <c r="H62" s="44" t="s">
        <v>83</v>
      </c>
      <c r="I62" s="60">
        <v>0</v>
      </c>
      <c r="J62" s="207">
        <v>0</v>
      </c>
    </row>
    <row r="63" spans="1:10" ht="15" thickBot="1" x14ac:dyDescent="0.35">
      <c r="F63" s="224"/>
      <c r="G63" s="48" t="s">
        <v>94</v>
      </c>
      <c r="H63" s="61" t="s">
        <v>83</v>
      </c>
      <c r="I63" s="203" t="s">
        <v>40</v>
      </c>
      <c r="J63" s="208">
        <f>'CETR Rate'!H13</f>
        <v>1.7699999999999999E-4</v>
      </c>
    </row>
    <row r="64" spans="1:10" x14ac:dyDescent="0.3">
      <c r="A64" s="15" t="s">
        <v>24</v>
      </c>
      <c r="G64"/>
      <c r="H64" s="21"/>
      <c r="I64" s="20"/>
    </row>
    <row r="65" spans="1:1" x14ac:dyDescent="0.3">
      <c r="A65" s="15" t="s">
        <v>24</v>
      </c>
    </row>
    <row r="66" spans="1:1" x14ac:dyDescent="0.3">
      <c r="A66" s="15" t="s">
        <v>24</v>
      </c>
    </row>
    <row r="67" spans="1:1" x14ac:dyDescent="0.3">
      <c r="A67" s="15" t="s">
        <v>24</v>
      </c>
    </row>
    <row r="68" spans="1:1" x14ac:dyDescent="0.3">
      <c r="A68" s="15" t="s">
        <v>24</v>
      </c>
    </row>
    <row r="69" spans="1:1" x14ac:dyDescent="0.3">
      <c r="A69" s="15" t="s">
        <v>24</v>
      </c>
    </row>
    <row r="70" spans="1:1" x14ac:dyDescent="0.3">
      <c r="A70" s="15" t="s">
        <v>24</v>
      </c>
    </row>
    <row r="71" spans="1:1" x14ac:dyDescent="0.3">
      <c r="A71" s="15" t="s">
        <v>24</v>
      </c>
    </row>
    <row r="72" spans="1:1" x14ac:dyDescent="0.3">
      <c r="A72" s="15" t="s">
        <v>24</v>
      </c>
    </row>
    <row r="73" spans="1:1" x14ac:dyDescent="0.3">
      <c r="A73" s="15" t="s">
        <v>24</v>
      </c>
    </row>
    <row r="74" spans="1:1" x14ac:dyDescent="0.3">
      <c r="A74" s="15" t="s">
        <v>24</v>
      </c>
    </row>
    <row r="75" spans="1:1" x14ac:dyDescent="0.3">
      <c r="A75" s="15" t="s">
        <v>24</v>
      </c>
    </row>
    <row r="76" spans="1:1" x14ac:dyDescent="0.3">
      <c r="A76" s="15" t="s">
        <v>24</v>
      </c>
    </row>
    <row r="77" spans="1:1" x14ac:dyDescent="0.3">
      <c r="A77" s="15" t="s">
        <v>24</v>
      </c>
    </row>
    <row r="78" spans="1:1" x14ac:dyDescent="0.3">
      <c r="A78" s="15" t="s">
        <v>24</v>
      </c>
    </row>
    <row r="79" spans="1:1" x14ac:dyDescent="0.3">
      <c r="A79" s="15" t="s">
        <v>24</v>
      </c>
    </row>
    <row r="80" spans="1:1" x14ac:dyDescent="0.3">
      <c r="A80" s="15" t="s">
        <v>24</v>
      </c>
    </row>
    <row r="81" spans="1:1" x14ac:dyDescent="0.3">
      <c r="A81" s="15" t="s">
        <v>24</v>
      </c>
    </row>
    <row r="82" spans="1:1" x14ac:dyDescent="0.3">
      <c r="A82" s="15" t="s">
        <v>24</v>
      </c>
    </row>
    <row r="83" spans="1:1" x14ac:dyDescent="0.3">
      <c r="A83" s="15" t="s">
        <v>24</v>
      </c>
    </row>
  </sheetData>
  <mergeCells count="7">
    <mergeCell ref="F57:F63"/>
    <mergeCell ref="F12:F19"/>
    <mergeCell ref="F22:F28"/>
    <mergeCell ref="F30:F38"/>
    <mergeCell ref="F40:F43"/>
    <mergeCell ref="F45:F48"/>
    <mergeCell ref="F50:F55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BB330C-3ED8-491C-9CE0-DA58A42ACD02}">
  <dimension ref="B1:AF719"/>
  <sheetViews>
    <sheetView workbookViewId="0">
      <selection activeCell="AF10" sqref="AF10"/>
    </sheetView>
  </sheetViews>
  <sheetFormatPr defaultColWidth="9.109375" defaultRowHeight="14.4" outlineLevelCol="1" x14ac:dyDescent="0.3"/>
  <cols>
    <col min="1" max="1" width="9.109375" style="68"/>
    <col min="2" max="2" width="6.5546875" style="68" hidden="1" customWidth="1" outlineLevel="1"/>
    <col min="3" max="3" width="9.109375" style="68" hidden="1" customWidth="1" outlineLevel="1"/>
    <col min="4" max="4" width="13.44140625" style="68" hidden="1" customWidth="1" outlineLevel="1"/>
    <col min="5" max="5" width="13.109375" style="68" hidden="1" customWidth="1" outlineLevel="1"/>
    <col min="6" max="6" width="10.5546875" style="68" hidden="1" customWidth="1" outlineLevel="1"/>
    <col min="7" max="8" width="9.5546875" style="68" hidden="1" customWidth="1" outlineLevel="1"/>
    <col min="9" max="9" width="10.5546875" style="68" hidden="1" customWidth="1" outlineLevel="1"/>
    <col min="10" max="10" width="9.5546875" style="68" hidden="1" customWidth="1" outlineLevel="1"/>
    <col min="11" max="11" width="10" style="68" hidden="1" customWidth="1" outlineLevel="1"/>
    <col min="12" max="12" width="3.21875" hidden="1" customWidth="1" outlineLevel="1"/>
    <col min="13" max="16" width="10" style="68" hidden="1" customWidth="1" outlineLevel="1"/>
    <col min="17" max="17" width="1.88671875" style="68" hidden="1" customWidth="1" outlineLevel="1"/>
    <col min="18" max="18" width="10" style="68" hidden="1" customWidth="1" outlineLevel="1"/>
    <col min="19" max="19" width="3.109375" style="68" hidden="1" customWidth="1" outlineLevel="1"/>
    <col min="20" max="20" width="10" style="68" hidden="1" customWidth="1" outlineLevel="1"/>
    <col min="21" max="21" width="3.33203125" style="68" hidden="1" customWidth="1" outlineLevel="1"/>
    <col min="22" max="22" width="10" style="68" hidden="1" customWidth="1" outlineLevel="1"/>
    <col min="23" max="23" width="2.109375" style="68" customWidth="1" collapsed="1"/>
    <col min="24" max="24" width="10" style="68" bestFit="1" customWidth="1"/>
    <col min="25" max="25" width="11" style="68" customWidth="1"/>
    <col min="26" max="26" width="12.6640625" style="68" customWidth="1"/>
    <col min="27" max="27" width="9.6640625" style="68" customWidth="1"/>
    <col min="28" max="28" width="11.21875" style="68" customWidth="1"/>
    <col min="29" max="16384" width="9.109375" style="68"/>
  </cols>
  <sheetData>
    <row r="1" spans="2:32" x14ac:dyDescent="0.3">
      <c r="L1" s="68"/>
    </row>
    <row r="2" spans="2:32" x14ac:dyDescent="0.3">
      <c r="B2" s="66"/>
      <c r="C2" s="66"/>
      <c r="D2" s="66"/>
      <c r="E2" s="66"/>
      <c r="F2" s="66"/>
      <c r="G2" s="66"/>
      <c r="H2" s="66"/>
      <c r="I2" s="66"/>
      <c r="J2" s="66"/>
      <c r="K2" s="66"/>
      <c r="M2" s="66"/>
      <c r="N2" s="66"/>
      <c r="O2" s="66"/>
      <c r="P2" s="66"/>
      <c r="Q2" s="66"/>
      <c r="R2" s="66"/>
      <c r="S2" s="66"/>
      <c r="T2" s="66"/>
      <c r="U2" s="66"/>
      <c r="V2" s="66"/>
      <c r="W2" s="66"/>
      <c r="X2" s="66"/>
      <c r="Y2" s="66"/>
      <c r="Z2" s="66"/>
      <c r="AA2" s="66"/>
      <c r="AB2" s="66"/>
      <c r="AC2" s="66"/>
      <c r="AD2" s="66"/>
      <c r="AE2" s="66"/>
      <c r="AF2" s="66"/>
    </row>
    <row r="3" spans="2:32" ht="18" customHeight="1" x14ac:dyDescent="0.3">
      <c r="B3" s="66"/>
      <c r="C3" s="69" t="str">
        <f>"Domestic Service Tariff Bill Impacts"&amp;"-"&amp;'CETR Rate'!D3</f>
        <v>Domestic Service Tariff Bill Impacts-Distributed Energy Resources Aggregation &amp; Control Platform</v>
      </c>
      <c r="D3" s="66"/>
      <c r="E3" s="66"/>
      <c r="F3" s="66"/>
      <c r="G3" s="66"/>
      <c r="H3" s="66"/>
      <c r="I3" s="66"/>
      <c r="J3" s="66"/>
      <c r="K3" s="66"/>
      <c r="M3" s="66"/>
      <c r="N3" s="66"/>
      <c r="O3" s="66"/>
      <c r="P3" s="66"/>
      <c r="Q3" s="66"/>
      <c r="R3" s="66"/>
      <c r="S3" s="66"/>
      <c r="T3" s="66"/>
      <c r="U3" s="66"/>
      <c r="V3" s="66"/>
      <c r="W3" s="66"/>
      <c r="X3" s="66" t="str">
        <f>C3</f>
        <v>Domestic Service Tariff Bill Impacts-Distributed Energy Resources Aggregation &amp; Control Platform</v>
      </c>
      <c r="Y3" s="66"/>
      <c r="Z3" s="66"/>
      <c r="AA3" s="66"/>
      <c r="AB3" s="66"/>
      <c r="AC3" s="66"/>
      <c r="AD3" s="66"/>
      <c r="AE3" s="66"/>
      <c r="AF3" s="66"/>
    </row>
    <row r="4" spans="2:32" ht="30.6" customHeight="1" x14ac:dyDescent="0.3">
      <c r="B4" s="66"/>
      <c r="C4" s="70"/>
      <c r="D4" s="71"/>
      <c r="E4" s="226" t="s">
        <v>103</v>
      </c>
      <c r="F4" s="227"/>
      <c r="G4" s="227"/>
      <c r="H4" s="227"/>
      <c r="I4" s="227"/>
      <c r="J4" s="227"/>
      <c r="K4" s="74"/>
      <c r="L4" s="112"/>
      <c r="M4" s="74"/>
      <c r="N4" s="226" t="s">
        <v>113</v>
      </c>
      <c r="O4" s="227"/>
      <c r="P4" s="227"/>
      <c r="Q4" s="227"/>
      <c r="R4" s="227"/>
      <c r="S4" s="227"/>
      <c r="T4" s="227"/>
      <c r="U4" s="227"/>
      <c r="V4" s="227"/>
      <c r="W4" s="75"/>
      <c r="X4" s="176"/>
      <c r="Y4" s="228" t="s">
        <v>152</v>
      </c>
      <c r="Z4" s="228"/>
      <c r="AA4" s="228"/>
      <c r="AB4" s="228"/>
      <c r="AC4" s="66"/>
      <c r="AD4" s="66"/>
      <c r="AE4" s="66"/>
      <c r="AF4" s="66"/>
    </row>
    <row r="5" spans="2:32" ht="60" customHeight="1" x14ac:dyDescent="0.3">
      <c r="B5" s="66"/>
      <c r="C5" s="70"/>
      <c r="D5" s="71"/>
      <c r="E5" s="72"/>
      <c r="F5" s="73"/>
      <c r="G5" s="73"/>
      <c r="H5" s="73"/>
      <c r="I5" s="73"/>
      <c r="J5" s="73"/>
      <c r="K5" s="74"/>
      <c r="L5" s="112"/>
      <c r="M5" s="74"/>
      <c r="N5" s="72"/>
      <c r="O5" s="73"/>
      <c r="P5" s="73"/>
      <c r="Q5" s="73"/>
      <c r="R5" s="212" t="s">
        <v>150</v>
      </c>
      <c r="S5" s="73"/>
      <c r="T5" s="213" t="s">
        <v>99</v>
      </c>
      <c r="U5" s="73"/>
      <c r="V5" s="213" t="s">
        <v>95</v>
      </c>
      <c r="W5" s="75"/>
      <c r="X5" s="175"/>
      <c r="Y5" s="229" t="s">
        <v>101</v>
      </c>
      <c r="Z5" s="230"/>
      <c r="AA5" s="229" t="s">
        <v>102</v>
      </c>
      <c r="AB5" s="230"/>
      <c r="AC5" s="66"/>
      <c r="AD5" s="66"/>
      <c r="AE5" s="66"/>
      <c r="AF5" s="66"/>
    </row>
    <row r="6" spans="2:32" ht="43.2" x14ac:dyDescent="0.3">
      <c r="B6" s="66"/>
      <c r="C6" s="76" t="s">
        <v>96</v>
      </c>
      <c r="D6" s="72" t="s">
        <v>97</v>
      </c>
      <c r="E6" s="72" t="s">
        <v>15</v>
      </c>
      <c r="F6" s="72" t="s">
        <v>16</v>
      </c>
      <c r="G6" s="72" t="s">
        <v>98</v>
      </c>
      <c r="H6" s="72" t="s">
        <v>17</v>
      </c>
      <c r="I6" s="72" t="s">
        <v>99</v>
      </c>
      <c r="J6" s="72" t="s">
        <v>100</v>
      </c>
      <c r="K6" s="72" t="s">
        <v>95</v>
      </c>
      <c r="L6" s="101"/>
      <c r="M6" s="72" t="s">
        <v>15</v>
      </c>
      <c r="N6" s="72" t="s">
        <v>16</v>
      </c>
      <c r="O6" s="72" t="s">
        <v>98</v>
      </c>
      <c r="P6" s="72" t="s">
        <v>17</v>
      </c>
      <c r="Q6" s="72"/>
      <c r="R6" s="72">
        <v>2024</v>
      </c>
      <c r="S6" s="72"/>
      <c r="T6" s="72">
        <v>2024</v>
      </c>
      <c r="U6" s="72"/>
      <c r="V6" s="72">
        <v>2024</v>
      </c>
      <c r="W6" s="66"/>
      <c r="X6" s="174" t="s">
        <v>96</v>
      </c>
      <c r="Y6" s="173">
        <v>2024</v>
      </c>
      <c r="Z6" s="173" t="s">
        <v>154</v>
      </c>
      <c r="AA6" s="173">
        <v>2024</v>
      </c>
      <c r="AB6" s="173" t="s">
        <v>154</v>
      </c>
      <c r="AC6" s="66"/>
      <c r="AD6" s="66"/>
      <c r="AE6" s="66"/>
      <c r="AF6" s="66"/>
    </row>
    <row r="7" spans="2:32" x14ac:dyDescent="0.3">
      <c r="B7" s="66"/>
      <c r="C7" s="77">
        <v>15</v>
      </c>
      <c r="D7" s="78">
        <v>6.5789162832419701E-2</v>
      </c>
      <c r="E7" s="79">
        <f>IF($C7&lt;=Tariffs!$E$9,Tariffs!$G$9,IF(AND($C7&gt;Tariffs!$E$9,$C7&lt;=Tariffs!$E$10),Tariffs!$G$10,Tariffs!$G$11))</f>
        <v>7</v>
      </c>
      <c r="F7" s="79">
        <f>IF($C7&gt;Tariffs!$E$11,(Tariffs!$F$9*Tariffs!$H$9)+(Tariffs!$F$10*Tariffs!$H$10)+(Tariffs!$F$11*Tariffs!$H$11)+(($C7-Tariffs!$E$11)*Tariffs!$H$12),IF(AND($C7&gt;Tariffs!$E$9,$C7&lt;=Tariffs!$E$10),(Tariffs!$F$9*Tariffs!$H$9)+(($C7-Tariffs!$E$9)*Tariffs!$H$10),IF(AND($C7&gt;Tariffs!$E$10,$C7&lt;=Tariffs!$E$11),(Tariffs!$F$9*Tariffs!$H$9)+(Tariffs!$F$10*Tariffs!$H$10)+(($C7-Tariffs!$E$10)*Tariffs!$H$11),$C7*Tariffs!$H$9)))</f>
        <v>2.4</v>
      </c>
      <c r="G7" s="80">
        <f>F7+E7</f>
        <v>9.4</v>
      </c>
      <c r="H7" s="67">
        <f>$C7*Tariffs!$J$8</f>
        <v>6.7663651873343422</v>
      </c>
      <c r="I7" s="67">
        <f>H7+G7</f>
        <v>16.166365187334343</v>
      </c>
      <c r="J7" s="67">
        <f>I7*Tariffs!$I$8</f>
        <v>2.8291139077835097</v>
      </c>
      <c r="K7" s="81">
        <f>J7+I7</f>
        <v>18.995479095117851</v>
      </c>
      <c r="L7" s="81"/>
      <c r="M7" s="79">
        <f>IF($C7&lt;=Tariffs!$E$9,Tariffs!$G$9,IF(AND($C7&gt;Tariffs!$E$9,$C7&lt;=Tariffs!$E$10),Tariffs!$G$10,Tariffs!$G$11))</f>
        <v>7</v>
      </c>
      <c r="N7" s="79">
        <f>IF($C7&gt;Tariffs!$E$11,(Tariffs!$F$9*Tariffs!$H$9)+(Tariffs!$F$10*Tariffs!$H$10)+(Tariffs!$F$11*Tariffs!$H$11)+(($C7-Tariffs!$E$11)*Tariffs!$H$12),IF(AND($C7&gt;Tariffs!$E$9,$C7&lt;=Tariffs!$E$10),(Tariffs!$F$9*Tariffs!$H$9)+(($C7-Tariffs!$E$9)*Tariffs!$H$10),IF(AND($C7&gt;Tariffs!$E$10,$C7&lt;=Tariffs!$E$11),(Tariffs!$F$9*Tariffs!$H$9)+(Tariffs!$F$10*Tariffs!$H$10)+(($C7-Tariffs!$E$10)*Tariffs!$H$11),$C7*Tariffs!$H$9)))</f>
        <v>2.4</v>
      </c>
      <c r="O7" s="80">
        <f>N7+M7</f>
        <v>9.4</v>
      </c>
      <c r="P7" s="67">
        <f>$C7*Tariffs!$J$8</f>
        <v>6.7663651873343422</v>
      </c>
      <c r="Q7" s="67"/>
      <c r="R7" s="67">
        <f>$C7*Tariffs!K$8</f>
        <v>2.6549999999999998E-3</v>
      </c>
      <c r="S7" s="67"/>
      <c r="T7" s="67">
        <f t="shared" ref="T7:T28" si="0">$P7+$O7+R7</f>
        <v>16.169020187334343</v>
      </c>
      <c r="U7" s="67"/>
      <c r="V7" s="67">
        <f>T7*(1+Tariffs!$I$8)</f>
        <v>18.998598720117855</v>
      </c>
      <c r="W7" s="82"/>
      <c r="X7" s="83">
        <f t="shared" ref="X7:X28" si="1">C7</f>
        <v>15</v>
      </c>
      <c r="Y7" s="67">
        <f>V7-$K7</f>
        <v>3.119625000003623E-3</v>
      </c>
      <c r="Z7" s="80">
        <f t="shared" ref="Z7:Z28" si="2">SUM(Y7:Y7)</f>
        <v>3.119625000003623E-3</v>
      </c>
      <c r="AA7" s="286">
        <f t="shared" ref="AA7:AA28" si="3">V7/$K7-1</f>
        <v>1.6422986671638107E-4</v>
      </c>
      <c r="AB7" s="287">
        <f t="shared" ref="AB7:AB28" si="4">SUM(AA7:AA7)</f>
        <v>1.6422986671638107E-4</v>
      </c>
      <c r="AC7" s="66"/>
      <c r="AD7" s="66"/>
      <c r="AE7" s="66"/>
      <c r="AF7" s="66"/>
    </row>
    <row r="8" spans="2:32" x14ac:dyDescent="0.3">
      <c r="B8" s="66"/>
      <c r="C8" s="84">
        <v>50</v>
      </c>
      <c r="D8" s="85">
        <v>9.8571705727423492E-2</v>
      </c>
      <c r="E8" s="86">
        <f>IF($C8&lt;=Tariffs!$E$9,Tariffs!$G$9,IF(AND($C8&gt;Tariffs!$E$9,$C8&lt;=Tariffs!$E$10),Tariffs!$G$10,Tariffs!$G$11))</f>
        <v>7</v>
      </c>
      <c r="F8" s="86">
        <f>IF($C8&gt;Tariffs!$E$11,(Tariffs!$F$9*Tariffs!$H$9)+(Tariffs!$F$10*Tariffs!$H$10)+(Tariffs!$F$11*Tariffs!$H$11)+(($C8-Tariffs!$E$11)*Tariffs!$H$12),IF(AND($C8&gt;Tariffs!$E$9,$C8&lt;=Tariffs!$E$10),(Tariffs!$F$9*Tariffs!$H$9)+(($C8-Tariffs!$E$9)*Tariffs!$H$10),IF(AND($C8&gt;Tariffs!$E$10,$C8&lt;=Tariffs!$E$11),(Tariffs!$F$9*Tariffs!$H$9)+(Tariffs!$F$10*Tariffs!$H$10)+(($C8-Tariffs!$E$10)*Tariffs!$H$11),$C8*Tariffs!$H$9)))</f>
        <v>8</v>
      </c>
      <c r="G8" s="87">
        <f t="shared" ref="G8:G28" si="5">F8+E8</f>
        <v>15</v>
      </c>
      <c r="H8" s="88">
        <f>$C8*Tariffs!$J$8</f>
        <v>22.55455062444781</v>
      </c>
      <c r="I8" s="88">
        <f t="shared" ref="I8:I28" si="6">H8+G8</f>
        <v>37.554550624447813</v>
      </c>
      <c r="J8" s="88">
        <f>I8*Tariffs!$I$8</f>
        <v>6.5720463592783673</v>
      </c>
      <c r="K8" s="89">
        <f t="shared" ref="K8:K28" si="7">J8+I8</f>
        <v>44.126596983726181</v>
      </c>
      <c r="L8" s="81"/>
      <c r="M8" s="86">
        <f>IF($C8&lt;=Tariffs!$E$9,Tariffs!$G$9,IF(AND($C8&gt;Tariffs!$E$9,$C8&lt;=Tariffs!$E$10),Tariffs!$G$10,Tariffs!$G$11))</f>
        <v>7</v>
      </c>
      <c r="N8" s="86">
        <f>IF($C8&gt;Tariffs!$E$11,(Tariffs!$F$9*Tariffs!$H$9)+(Tariffs!$F$10*Tariffs!$H$10)+(Tariffs!$F$11*Tariffs!$H$11)+(($C8-Tariffs!$E$11)*Tariffs!$H$12),IF(AND($C8&gt;Tariffs!$E$9,$C8&lt;=Tariffs!$E$10),(Tariffs!$F$9*Tariffs!$H$9)+(($C8-Tariffs!$E$9)*Tariffs!$H$10),IF(AND($C8&gt;Tariffs!$E$10,$C8&lt;=Tariffs!$E$11),(Tariffs!$F$9*Tariffs!$H$9)+(Tariffs!$F$10*Tariffs!$H$10)+(($C8-Tariffs!$E$10)*Tariffs!$H$11),$C8*Tariffs!$H$9)))</f>
        <v>8</v>
      </c>
      <c r="O8" s="87">
        <f t="shared" ref="O8:O28" si="8">N8+M8</f>
        <v>15</v>
      </c>
      <c r="P8" s="88">
        <f>$C8*Tariffs!$J$8</f>
        <v>22.55455062444781</v>
      </c>
      <c r="Q8" s="67"/>
      <c r="R8" s="88">
        <f>$C8*Tariffs!K$8</f>
        <v>8.8500000000000002E-3</v>
      </c>
      <c r="S8" s="67"/>
      <c r="T8" s="88">
        <f t="shared" si="0"/>
        <v>37.563400624447816</v>
      </c>
      <c r="U8" s="67"/>
      <c r="V8" s="88">
        <f>T8*(1+Tariffs!$I$8)</f>
        <v>44.136995733726188</v>
      </c>
      <c r="W8" s="82"/>
      <c r="X8" s="90">
        <f t="shared" si="1"/>
        <v>50</v>
      </c>
      <c r="Y8" s="88">
        <f t="shared" ref="Y8:Y28" si="9">V8-$K8</f>
        <v>1.039875000000734E-2</v>
      </c>
      <c r="Z8" s="87">
        <f t="shared" si="2"/>
        <v>1.039875000000734E-2</v>
      </c>
      <c r="AA8" s="288">
        <f t="shared" si="3"/>
        <v>2.3565719341189784E-4</v>
      </c>
      <c r="AB8" s="289">
        <f t="shared" si="4"/>
        <v>2.3565719341189784E-4</v>
      </c>
      <c r="AC8" s="66"/>
      <c r="AD8" s="66"/>
      <c r="AE8" s="66"/>
      <c r="AF8" s="66"/>
    </row>
    <row r="9" spans="2:32" x14ac:dyDescent="0.3">
      <c r="B9" s="66"/>
      <c r="C9" s="77">
        <v>100</v>
      </c>
      <c r="D9" s="78">
        <v>0.2011223897351237</v>
      </c>
      <c r="E9" s="79">
        <f>IF($C9&lt;=Tariffs!$E$9,Tariffs!$G$9,IF(AND($C9&gt;Tariffs!$E$9,$C9&lt;=Tariffs!$E$10),Tariffs!$G$10,Tariffs!$G$11))</f>
        <v>7</v>
      </c>
      <c r="F9" s="79">
        <f>IF($C9&gt;Tariffs!$E$11,(Tariffs!$F$9*Tariffs!$H$9)+(Tariffs!$F$10*Tariffs!$H$10)+(Tariffs!$F$11*Tariffs!$H$11)+(($C9-Tariffs!$E$11)*Tariffs!$H$12),IF(AND($C9&gt;Tariffs!$E$9,$C9&lt;=Tariffs!$E$10),(Tariffs!$F$9*Tariffs!$H$9)+(($C9-Tariffs!$E$9)*Tariffs!$H$10),IF(AND($C9&gt;Tariffs!$E$10,$C9&lt;=Tariffs!$E$11),(Tariffs!$F$9*Tariffs!$H$9)+(Tariffs!$F$10*Tariffs!$H$10)+(($C9-Tariffs!$E$10)*Tariffs!$H$11),$C9*Tariffs!$H$9)))</f>
        <v>16</v>
      </c>
      <c r="G9" s="80">
        <f t="shared" si="5"/>
        <v>23</v>
      </c>
      <c r="H9" s="67">
        <f>$C9*Tariffs!$J$8</f>
        <v>45.10910124889562</v>
      </c>
      <c r="I9" s="67">
        <f t="shared" si="6"/>
        <v>68.109101248895627</v>
      </c>
      <c r="J9" s="67">
        <f>I9*Tariffs!$I$8</f>
        <v>11.919092718556733</v>
      </c>
      <c r="K9" s="81">
        <f t="shared" si="7"/>
        <v>80.028193967452353</v>
      </c>
      <c r="L9" s="81"/>
      <c r="M9" s="79">
        <f>IF($C9&lt;=Tariffs!$E$9,Tariffs!$G$9,IF(AND($C9&gt;Tariffs!$E$9,$C9&lt;=Tariffs!$E$10),Tariffs!$G$10,Tariffs!$G$11))</f>
        <v>7</v>
      </c>
      <c r="N9" s="79">
        <f>IF($C9&gt;Tariffs!$E$11,(Tariffs!$F$9*Tariffs!$H$9)+(Tariffs!$F$10*Tariffs!$H$10)+(Tariffs!$F$11*Tariffs!$H$11)+(($C9-Tariffs!$E$11)*Tariffs!$H$12),IF(AND($C9&gt;Tariffs!$E$9,$C9&lt;=Tariffs!$E$10),(Tariffs!$F$9*Tariffs!$H$9)+(($C9-Tariffs!$E$9)*Tariffs!$H$10),IF(AND($C9&gt;Tariffs!$E$10,$C9&lt;=Tariffs!$E$11),(Tariffs!$F$9*Tariffs!$H$9)+(Tariffs!$F$10*Tariffs!$H$10)+(($C9-Tariffs!$E$10)*Tariffs!$H$11),$C9*Tariffs!$H$9)))</f>
        <v>16</v>
      </c>
      <c r="O9" s="80">
        <f t="shared" si="8"/>
        <v>23</v>
      </c>
      <c r="P9" s="67">
        <f>$C9*Tariffs!$J$8</f>
        <v>45.10910124889562</v>
      </c>
      <c r="Q9" s="67"/>
      <c r="R9" s="67">
        <f>$C9*Tariffs!K$8</f>
        <v>1.77E-2</v>
      </c>
      <c r="S9" s="67"/>
      <c r="T9" s="67">
        <f t="shared" si="0"/>
        <v>68.126801248895632</v>
      </c>
      <c r="U9" s="67"/>
      <c r="V9" s="67">
        <f>T9*(1+Tariffs!$I$8)</f>
        <v>80.048991467452367</v>
      </c>
      <c r="W9" s="82"/>
      <c r="X9" s="83">
        <f t="shared" si="1"/>
        <v>100</v>
      </c>
      <c r="Y9" s="67">
        <f t="shared" si="9"/>
        <v>2.0797500000014679E-2</v>
      </c>
      <c r="Z9" s="80">
        <f t="shared" si="2"/>
        <v>2.0797500000014679E-2</v>
      </c>
      <c r="AA9" s="286">
        <f t="shared" si="3"/>
        <v>2.598771628967711E-4</v>
      </c>
      <c r="AB9" s="287">
        <f t="shared" si="4"/>
        <v>2.598771628967711E-4</v>
      </c>
      <c r="AC9" s="66"/>
      <c r="AD9" s="66"/>
      <c r="AE9" s="66"/>
      <c r="AF9" s="66"/>
    </row>
    <row r="10" spans="2:32" x14ac:dyDescent="0.3">
      <c r="B10" s="66"/>
      <c r="C10" s="84">
        <v>150</v>
      </c>
      <c r="D10" s="85">
        <v>0.35458366413929709</v>
      </c>
      <c r="E10" s="86">
        <f>IF($C10&lt;=Tariffs!$E$9,Tariffs!$G$9,IF(AND($C10&gt;Tariffs!$E$9,$C10&lt;=Tariffs!$E$10),Tariffs!$G$10,Tariffs!$G$11))</f>
        <v>7</v>
      </c>
      <c r="F10" s="86">
        <f>IF($C10&gt;Tariffs!$E$11,(Tariffs!$F$9*Tariffs!$H$9)+(Tariffs!$F$10*Tariffs!$H$10)+(Tariffs!$F$11*Tariffs!$H$11)+(($C10-Tariffs!$E$11)*Tariffs!$H$12),IF(AND($C10&gt;Tariffs!$E$9,$C10&lt;=Tariffs!$E$10),(Tariffs!$F$9*Tariffs!$H$9)+(($C10-Tariffs!$E$9)*Tariffs!$H$10),IF(AND($C10&gt;Tariffs!$E$10,$C10&lt;=Tariffs!$E$11),(Tariffs!$F$9*Tariffs!$H$9)+(Tariffs!$F$10*Tariffs!$H$10)+(($C10-Tariffs!$E$10)*Tariffs!$H$11),$C10*Tariffs!$H$9)))</f>
        <v>24</v>
      </c>
      <c r="G10" s="87">
        <f t="shared" si="5"/>
        <v>31</v>
      </c>
      <c r="H10" s="88">
        <f>$C10*Tariffs!$J$8</f>
        <v>67.663651873343426</v>
      </c>
      <c r="I10" s="88">
        <f t="shared" si="6"/>
        <v>98.663651873343426</v>
      </c>
      <c r="J10" s="88">
        <f>I10*Tariffs!$I$8</f>
        <v>17.266139077835099</v>
      </c>
      <c r="K10" s="89">
        <f t="shared" si="7"/>
        <v>115.92979095117852</v>
      </c>
      <c r="L10" s="81"/>
      <c r="M10" s="86">
        <f>IF($C10&lt;=Tariffs!$E$9,Tariffs!$G$9,IF(AND($C10&gt;Tariffs!$E$9,$C10&lt;=Tariffs!$E$10),Tariffs!$G$10,Tariffs!$G$11))</f>
        <v>7</v>
      </c>
      <c r="N10" s="86">
        <f>IF($C10&gt;Tariffs!$E$11,(Tariffs!$F$9*Tariffs!$H$9)+(Tariffs!$F$10*Tariffs!$H$10)+(Tariffs!$F$11*Tariffs!$H$11)+(($C10-Tariffs!$E$11)*Tariffs!$H$12),IF(AND($C10&gt;Tariffs!$E$9,$C10&lt;=Tariffs!$E$10),(Tariffs!$F$9*Tariffs!$H$9)+(($C10-Tariffs!$E$9)*Tariffs!$H$10),IF(AND($C10&gt;Tariffs!$E$10,$C10&lt;=Tariffs!$E$11),(Tariffs!$F$9*Tariffs!$H$9)+(Tariffs!$F$10*Tariffs!$H$10)+(($C10-Tariffs!$E$10)*Tariffs!$H$11),$C10*Tariffs!$H$9)))</f>
        <v>24</v>
      </c>
      <c r="O10" s="87">
        <f t="shared" si="8"/>
        <v>31</v>
      </c>
      <c r="P10" s="88">
        <f>$C10*Tariffs!$J$8</f>
        <v>67.663651873343426</v>
      </c>
      <c r="Q10" s="67"/>
      <c r="R10" s="88">
        <f>$C10*Tariffs!K$8</f>
        <v>2.6549999999999997E-2</v>
      </c>
      <c r="S10" s="67"/>
      <c r="T10" s="88">
        <f t="shared" si="0"/>
        <v>98.690201873343426</v>
      </c>
      <c r="U10" s="67"/>
      <c r="V10" s="88">
        <f>T10*(1+Tariffs!$I$8)</f>
        <v>115.96098720117853</v>
      </c>
      <c r="W10" s="82"/>
      <c r="X10" s="90">
        <f t="shared" si="1"/>
        <v>150</v>
      </c>
      <c r="Y10" s="88">
        <f t="shared" si="9"/>
        <v>3.1196250000007808E-2</v>
      </c>
      <c r="Z10" s="87">
        <f t="shared" si="2"/>
        <v>3.1196250000007808E-2</v>
      </c>
      <c r="AA10" s="288">
        <f t="shared" si="3"/>
        <v>2.6909606015901311E-4</v>
      </c>
      <c r="AB10" s="289">
        <f t="shared" si="4"/>
        <v>2.6909606015901311E-4</v>
      </c>
      <c r="AC10" s="66"/>
      <c r="AD10" s="66"/>
      <c r="AE10" s="66"/>
      <c r="AF10" s="66"/>
    </row>
    <row r="11" spans="2:32" x14ac:dyDescent="0.3">
      <c r="B11" s="66"/>
      <c r="C11" s="77">
        <v>200</v>
      </c>
      <c r="D11" s="78">
        <v>0.50649644447721665</v>
      </c>
      <c r="E11" s="79">
        <f>IF($C11&lt;=Tariffs!$E$9,Tariffs!$G$9,IF(AND($C11&gt;Tariffs!$E$9,$C11&lt;=Tariffs!$E$10),Tariffs!$G$10,Tariffs!$G$11))</f>
        <v>12</v>
      </c>
      <c r="F11" s="79">
        <f>IF($C11&gt;Tariffs!$E$11,(Tariffs!$F$9*Tariffs!$H$9)+(Tariffs!$F$10*Tariffs!$H$10)+(Tariffs!$F$11*Tariffs!$H$11)+(($C11-Tariffs!$E$11)*Tariffs!$H$12),IF(AND($C11&gt;Tariffs!$E$9,$C11&lt;=Tariffs!$E$10),(Tariffs!$F$9*Tariffs!$H$9)+(($C11-Tariffs!$E$9)*Tariffs!$H$10),IF(AND($C11&gt;Tariffs!$E$10,$C11&lt;=Tariffs!$E$11),(Tariffs!$F$9*Tariffs!$H$9)+(Tariffs!$F$10*Tariffs!$H$10)+(($C11-Tariffs!$E$10)*Tariffs!$H$11),$C11*Tariffs!$H$9)))</f>
        <v>33.799999999999997</v>
      </c>
      <c r="G11" s="80">
        <f t="shared" si="5"/>
        <v>45.8</v>
      </c>
      <c r="H11" s="67">
        <f>$C11*Tariffs!$J$8</f>
        <v>90.218202497791239</v>
      </c>
      <c r="I11" s="67">
        <f t="shared" si="6"/>
        <v>136.01820249779124</v>
      </c>
      <c r="J11" s="67">
        <f>I11*Tariffs!$I$8</f>
        <v>23.803185437113466</v>
      </c>
      <c r="K11" s="81">
        <f t="shared" si="7"/>
        <v>159.82138793490469</v>
      </c>
      <c r="L11" s="81"/>
      <c r="M11" s="79">
        <f>IF($C11&lt;=Tariffs!$E$9,Tariffs!$G$9,IF(AND($C11&gt;Tariffs!$E$9,$C11&lt;=Tariffs!$E$10),Tariffs!$G$10,Tariffs!$G$11))</f>
        <v>12</v>
      </c>
      <c r="N11" s="79">
        <f>IF($C11&gt;Tariffs!$E$11,(Tariffs!$F$9*Tariffs!$H$9)+(Tariffs!$F$10*Tariffs!$H$10)+(Tariffs!$F$11*Tariffs!$H$11)+(($C11-Tariffs!$E$11)*Tariffs!$H$12),IF(AND($C11&gt;Tariffs!$E$9,$C11&lt;=Tariffs!$E$10),(Tariffs!$F$9*Tariffs!$H$9)+(($C11-Tariffs!$E$9)*Tariffs!$H$10),IF(AND($C11&gt;Tariffs!$E$10,$C11&lt;=Tariffs!$E$11),(Tariffs!$F$9*Tariffs!$H$9)+(Tariffs!$F$10*Tariffs!$H$10)+(($C11-Tariffs!$E$10)*Tariffs!$H$11),$C11*Tariffs!$H$9)))</f>
        <v>33.799999999999997</v>
      </c>
      <c r="O11" s="80">
        <f t="shared" si="8"/>
        <v>45.8</v>
      </c>
      <c r="P11" s="67">
        <f>$C11*Tariffs!$J$8</f>
        <v>90.218202497791239</v>
      </c>
      <c r="Q11" s="67"/>
      <c r="R11" s="67">
        <f>$C11*Tariffs!K$8</f>
        <v>3.5400000000000001E-2</v>
      </c>
      <c r="S11" s="67"/>
      <c r="T11" s="67">
        <f t="shared" si="0"/>
        <v>136.05360249779125</v>
      </c>
      <c r="U11" s="67"/>
      <c r="V11" s="67">
        <f>T11*(1+Tariffs!$I$8)</f>
        <v>159.86298293490472</v>
      </c>
      <c r="W11" s="82"/>
      <c r="X11" s="83">
        <f t="shared" si="1"/>
        <v>200</v>
      </c>
      <c r="Y11" s="67">
        <f t="shared" si="9"/>
        <v>4.1595000000029358E-2</v>
      </c>
      <c r="Z11" s="80">
        <f t="shared" si="2"/>
        <v>4.1595000000029358E-2</v>
      </c>
      <c r="AA11" s="286">
        <f t="shared" si="3"/>
        <v>2.6025928405126741E-4</v>
      </c>
      <c r="AB11" s="287">
        <f t="shared" si="4"/>
        <v>2.6025928405126741E-4</v>
      </c>
      <c r="AC11" s="66"/>
      <c r="AD11" s="66"/>
      <c r="AE11" s="66"/>
      <c r="AF11" s="66"/>
    </row>
    <row r="12" spans="2:32" x14ac:dyDescent="0.3">
      <c r="B12" s="66"/>
      <c r="C12" s="91">
        <v>250</v>
      </c>
      <c r="D12" s="92">
        <v>0.63469213747305508</v>
      </c>
      <c r="E12" s="93">
        <f>IF($C12&lt;=Tariffs!$E$9,Tariffs!$G$9,IF(AND($C12&gt;Tariffs!$E$9,$C12&lt;=Tariffs!$E$10),Tariffs!$G$10,Tariffs!$G$11))</f>
        <v>12</v>
      </c>
      <c r="F12" s="93">
        <f>IF($C12&gt;Tariffs!$E$11,(Tariffs!$F$9*Tariffs!$H$9)+(Tariffs!$F$10*Tariffs!$H$10)+(Tariffs!$F$11*Tariffs!$H$11)+(($C12-Tariffs!$E$11)*Tariffs!$H$12),IF(AND($C12&gt;Tariffs!$E$9,$C12&lt;=Tariffs!$E$10),(Tariffs!$F$9*Tariffs!$H$9)+(($C12-Tariffs!$E$9)*Tariffs!$H$10),IF(AND($C12&gt;Tariffs!$E$10,$C12&lt;=Tariffs!$E$11),(Tariffs!$F$9*Tariffs!$H$9)+(Tariffs!$F$10*Tariffs!$H$10)+(($C12-Tariffs!$E$10)*Tariffs!$H$11),$C12*Tariffs!$H$9)))</f>
        <v>43.6</v>
      </c>
      <c r="G12" s="94">
        <f t="shared" si="5"/>
        <v>55.6</v>
      </c>
      <c r="H12" s="95">
        <f>$C12*Tariffs!$J$8</f>
        <v>112.77275312223904</v>
      </c>
      <c r="I12" s="95">
        <f t="shared" si="6"/>
        <v>168.37275312223903</v>
      </c>
      <c r="J12" s="95">
        <f>I12*Tariffs!$I$8</f>
        <v>29.46523179639183</v>
      </c>
      <c r="K12" s="96">
        <f t="shared" si="7"/>
        <v>197.83798491863087</v>
      </c>
      <c r="L12" s="113"/>
      <c r="M12" s="93">
        <f>IF($C12&lt;=Tariffs!$E$9,Tariffs!$G$9,IF(AND($C12&gt;Tariffs!$E$9,$C12&lt;=Tariffs!$E$10),Tariffs!$G$10,Tariffs!$G$11))</f>
        <v>12</v>
      </c>
      <c r="N12" s="93">
        <f>IF($C12&gt;Tariffs!$E$11,(Tariffs!$F$9*Tariffs!$H$9)+(Tariffs!$F$10*Tariffs!$H$10)+(Tariffs!$F$11*Tariffs!$H$11)+(($C12-Tariffs!$E$11)*Tariffs!$H$12),IF(AND($C12&gt;Tariffs!$E$9,$C12&lt;=Tariffs!$E$10),(Tariffs!$F$9*Tariffs!$H$9)+(($C12-Tariffs!$E$9)*Tariffs!$H$10),IF(AND($C12&gt;Tariffs!$E$10,$C12&lt;=Tariffs!$E$11),(Tariffs!$F$9*Tariffs!$H$9)+(Tariffs!$F$10*Tariffs!$H$10)+(($C12-Tariffs!$E$10)*Tariffs!$H$11),$C12*Tariffs!$H$9)))</f>
        <v>43.6</v>
      </c>
      <c r="O12" s="94">
        <f t="shared" si="8"/>
        <v>55.6</v>
      </c>
      <c r="P12" s="95">
        <f>$C12*Tariffs!$J$8</f>
        <v>112.77275312223904</v>
      </c>
      <c r="Q12" s="171"/>
      <c r="R12" s="95">
        <f>$C12*Tariffs!K$8</f>
        <v>4.4249999999999998E-2</v>
      </c>
      <c r="S12" s="171"/>
      <c r="T12" s="95">
        <f t="shared" si="0"/>
        <v>168.41700312223904</v>
      </c>
      <c r="U12" s="67"/>
      <c r="V12" s="95">
        <f>T12*(1+Tariffs!$I$8)</f>
        <v>197.88997866863087</v>
      </c>
      <c r="W12" s="82"/>
      <c r="X12" s="172">
        <f t="shared" si="1"/>
        <v>250</v>
      </c>
      <c r="Y12" s="95">
        <f t="shared" si="9"/>
        <v>5.1993750000008276E-2</v>
      </c>
      <c r="Z12" s="94">
        <f t="shared" si="2"/>
        <v>5.1993750000008276E-2</v>
      </c>
      <c r="AA12" s="290">
        <f t="shared" si="3"/>
        <v>2.6280974314096817E-4</v>
      </c>
      <c r="AB12" s="291">
        <f t="shared" si="4"/>
        <v>2.6280974314096817E-4</v>
      </c>
      <c r="AC12" s="66"/>
      <c r="AD12" s="66"/>
      <c r="AE12" s="66"/>
      <c r="AF12" s="66"/>
    </row>
    <row r="13" spans="2:32" x14ac:dyDescent="0.3">
      <c r="B13" s="66"/>
      <c r="C13" s="77">
        <v>300</v>
      </c>
      <c r="D13" s="78">
        <v>0.73320227570639729</v>
      </c>
      <c r="E13" s="79">
        <f>IF($C13&lt;=Tariffs!$E$9,Tariffs!$G$9,IF(AND($C13&gt;Tariffs!$E$9,$C13&lt;=Tariffs!$E$10),Tariffs!$G$10,Tariffs!$G$11))</f>
        <v>12</v>
      </c>
      <c r="F13" s="79">
        <f>IF($C13&gt;Tariffs!$E$11,(Tariffs!$F$9*Tariffs!$H$9)+(Tariffs!$F$10*Tariffs!$H$10)+(Tariffs!$F$11*Tariffs!$H$11)+(($C13-Tariffs!$E$11)*Tariffs!$H$12),IF(AND($C13&gt;Tariffs!$E$9,$C13&lt;=Tariffs!$E$10),(Tariffs!$F$9*Tariffs!$H$9)+(($C13-Tariffs!$E$9)*Tariffs!$H$10),IF(AND($C13&gt;Tariffs!$E$10,$C13&lt;=Tariffs!$E$11),(Tariffs!$F$9*Tariffs!$H$9)+(Tariffs!$F$10*Tariffs!$H$10)+(($C13-Tariffs!$E$10)*Tariffs!$H$11),$C13*Tariffs!$H$9)))</f>
        <v>53.400000000000006</v>
      </c>
      <c r="G13" s="80">
        <f t="shared" si="5"/>
        <v>65.400000000000006</v>
      </c>
      <c r="H13" s="67">
        <f>$C13*Tariffs!$J$8</f>
        <v>135.32730374668685</v>
      </c>
      <c r="I13" s="67">
        <f t="shared" si="6"/>
        <v>200.72730374668686</v>
      </c>
      <c r="J13" s="67">
        <f>I13*Tariffs!$I$8</f>
        <v>35.127278155670197</v>
      </c>
      <c r="K13" s="81">
        <f t="shared" si="7"/>
        <v>235.85458190235704</v>
      </c>
      <c r="L13" s="81"/>
      <c r="M13" s="79">
        <f>IF($C13&lt;=Tariffs!$E$9,Tariffs!$G$9,IF(AND($C13&gt;Tariffs!$E$9,$C13&lt;=Tariffs!$E$10),Tariffs!$G$10,Tariffs!$G$11))</f>
        <v>12</v>
      </c>
      <c r="N13" s="79">
        <f>IF($C13&gt;Tariffs!$E$11,(Tariffs!$F$9*Tariffs!$H$9)+(Tariffs!$F$10*Tariffs!$H$10)+(Tariffs!$F$11*Tariffs!$H$11)+(($C13-Tariffs!$E$11)*Tariffs!$H$12),IF(AND($C13&gt;Tariffs!$E$9,$C13&lt;=Tariffs!$E$10),(Tariffs!$F$9*Tariffs!$H$9)+(($C13-Tariffs!$E$9)*Tariffs!$H$10),IF(AND($C13&gt;Tariffs!$E$10,$C13&lt;=Tariffs!$E$11),(Tariffs!$F$9*Tariffs!$H$9)+(Tariffs!$F$10*Tariffs!$H$10)+(($C13-Tariffs!$E$10)*Tariffs!$H$11),$C13*Tariffs!$H$9)))</f>
        <v>53.400000000000006</v>
      </c>
      <c r="O13" s="80">
        <f t="shared" si="8"/>
        <v>65.400000000000006</v>
      </c>
      <c r="P13" s="67">
        <f>$C13*Tariffs!$J$8</f>
        <v>135.32730374668685</v>
      </c>
      <c r="Q13" s="67"/>
      <c r="R13" s="67">
        <f>$C13*Tariffs!K$8</f>
        <v>5.3099999999999994E-2</v>
      </c>
      <c r="S13" s="67"/>
      <c r="T13" s="67">
        <f t="shared" si="0"/>
        <v>200.78040374668686</v>
      </c>
      <c r="U13" s="67"/>
      <c r="V13" s="67">
        <f>T13*(1+Tariffs!$I$8)</f>
        <v>235.91697440235706</v>
      </c>
      <c r="W13" s="82"/>
      <c r="X13" s="83">
        <f t="shared" si="1"/>
        <v>300</v>
      </c>
      <c r="Y13" s="67">
        <f t="shared" si="9"/>
        <v>6.2392500000015616E-2</v>
      </c>
      <c r="Z13" s="80">
        <f t="shared" si="2"/>
        <v>6.2392500000015616E-2</v>
      </c>
      <c r="AA13" s="286">
        <f t="shared" si="3"/>
        <v>2.6453800259784721E-4</v>
      </c>
      <c r="AB13" s="287">
        <f t="shared" si="4"/>
        <v>2.6453800259784721E-4</v>
      </c>
      <c r="AC13" s="66"/>
      <c r="AD13" s="66"/>
      <c r="AE13" s="66"/>
      <c r="AF13" s="66"/>
    </row>
    <row r="14" spans="2:32" x14ac:dyDescent="0.3">
      <c r="B14" s="66"/>
      <c r="C14" s="84">
        <v>350</v>
      </c>
      <c r="D14" s="85">
        <v>0.80418530097555818</v>
      </c>
      <c r="E14" s="86">
        <f>IF($C14&lt;=Tariffs!$E$9,Tariffs!$G$9,IF(AND($C14&gt;Tariffs!$E$9,$C14&lt;=Tariffs!$E$10),Tariffs!$G$10,Tariffs!$G$11))</f>
        <v>12</v>
      </c>
      <c r="F14" s="86">
        <f>IF($C14&gt;Tariffs!$E$11,(Tariffs!$F$9*Tariffs!$H$9)+(Tariffs!$F$10*Tariffs!$H$10)+(Tariffs!$F$11*Tariffs!$H$11)+(($C14-Tariffs!$E$11)*Tariffs!$H$12),IF(AND($C14&gt;Tariffs!$E$9,$C14&lt;=Tariffs!$E$10),(Tariffs!$F$9*Tariffs!$H$9)+(($C14-Tariffs!$E$9)*Tariffs!$H$10),IF(AND($C14&gt;Tariffs!$E$10,$C14&lt;=Tariffs!$E$11),(Tariffs!$F$9*Tariffs!$H$9)+(Tariffs!$F$10*Tariffs!$H$10)+(($C14-Tariffs!$E$10)*Tariffs!$H$11),$C14*Tariffs!$H$9)))</f>
        <v>63.2</v>
      </c>
      <c r="G14" s="87">
        <f t="shared" si="5"/>
        <v>75.2</v>
      </c>
      <c r="H14" s="88">
        <f>$C14*Tariffs!$J$8</f>
        <v>157.88185437113466</v>
      </c>
      <c r="I14" s="88">
        <f t="shared" si="6"/>
        <v>233.08185437113468</v>
      </c>
      <c r="J14" s="88">
        <f>I14*Tariffs!$I$8</f>
        <v>40.789324514948568</v>
      </c>
      <c r="K14" s="89">
        <f t="shared" si="7"/>
        <v>273.87117888608327</v>
      </c>
      <c r="L14" s="81"/>
      <c r="M14" s="86">
        <f>IF($C14&lt;=Tariffs!$E$9,Tariffs!$G$9,IF(AND($C14&gt;Tariffs!$E$9,$C14&lt;=Tariffs!$E$10),Tariffs!$G$10,Tariffs!$G$11))</f>
        <v>12</v>
      </c>
      <c r="N14" s="86">
        <f>IF($C14&gt;Tariffs!$E$11,(Tariffs!$F$9*Tariffs!$H$9)+(Tariffs!$F$10*Tariffs!$H$10)+(Tariffs!$F$11*Tariffs!$H$11)+(($C14-Tariffs!$E$11)*Tariffs!$H$12),IF(AND($C14&gt;Tariffs!$E$9,$C14&lt;=Tariffs!$E$10),(Tariffs!$F$9*Tariffs!$H$9)+(($C14-Tariffs!$E$9)*Tariffs!$H$10),IF(AND($C14&gt;Tariffs!$E$10,$C14&lt;=Tariffs!$E$11),(Tariffs!$F$9*Tariffs!$H$9)+(Tariffs!$F$10*Tariffs!$H$10)+(($C14-Tariffs!$E$10)*Tariffs!$H$11),$C14*Tariffs!$H$9)))</f>
        <v>63.2</v>
      </c>
      <c r="O14" s="87">
        <f t="shared" si="8"/>
        <v>75.2</v>
      </c>
      <c r="P14" s="88">
        <f>$C14*Tariffs!$J$8</f>
        <v>157.88185437113466</v>
      </c>
      <c r="Q14" s="67"/>
      <c r="R14" s="88">
        <f>$C14*Tariffs!K$8</f>
        <v>6.1949999999999998E-2</v>
      </c>
      <c r="S14" s="67"/>
      <c r="T14" s="88">
        <f t="shared" si="0"/>
        <v>233.14380437113468</v>
      </c>
      <c r="U14" s="67"/>
      <c r="V14" s="88">
        <f>T14*(1+Tariffs!$I$8)</f>
        <v>273.94397013608324</v>
      </c>
      <c r="W14" s="82"/>
      <c r="X14" s="90">
        <f t="shared" si="1"/>
        <v>350</v>
      </c>
      <c r="Y14" s="88">
        <f t="shared" si="9"/>
        <v>7.2791249999966112E-2</v>
      </c>
      <c r="Z14" s="87">
        <f t="shared" si="2"/>
        <v>7.2791249999966112E-2</v>
      </c>
      <c r="AA14" s="288">
        <f t="shared" si="3"/>
        <v>2.6578645586594618E-4</v>
      </c>
      <c r="AB14" s="289">
        <f t="shared" si="4"/>
        <v>2.6578645586594618E-4</v>
      </c>
      <c r="AC14" s="66"/>
      <c r="AD14" s="66"/>
      <c r="AE14" s="66"/>
      <c r="AF14" s="66"/>
    </row>
    <row r="15" spans="2:32" x14ac:dyDescent="0.3">
      <c r="B15" s="66"/>
      <c r="C15" s="77">
        <v>400</v>
      </c>
      <c r="D15" s="78">
        <v>0.85319159446207526</v>
      </c>
      <c r="E15" s="79">
        <f>IF($C15&lt;=Tariffs!$E$9,Tariffs!$G$9,IF(AND($C15&gt;Tariffs!$E$9,$C15&lt;=Tariffs!$E$10),Tariffs!$G$10,Tariffs!$G$11))</f>
        <v>12</v>
      </c>
      <c r="F15" s="79">
        <f>IF($C15&gt;Tariffs!$E$11,(Tariffs!$F$9*Tariffs!$H$9)+(Tariffs!$F$10*Tariffs!$H$10)+(Tariffs!$F$11*Tariffs!$H$11)+(($C15-Tariffs!$E$11)*Tariffs!$H$12),IF(AND($C15&gt;Tariffs!$E$9,$C15&lt;=Tariffs!$E$10),(Tariffs!$F$9*Tariffs!$H$9)+(($C15-Tariffs!$E$9)*Tariffs!$H$10),IF(AND($C15&gt;Tariffs!$E$10,$C15&lt;=Tariffs!$E$11),(Tariffs!$F$9*Tariffs!$H$9)+(Tariffs!$F$10*Tariffs!$H$10)+(($C15-Tariffs!$E$10)*Tariffs!$H$11),$C15*Tariffs!$H$9)))</f>
        <v>73</v>
      </c>
      <c r="G15" s="80">
        <f t="shared" si="5"/>
        <v>85</v>
      </c>
      <c r="H15" s="67">
        <f>$C15*Tariffs!$J$8</f>
        <v>180.43640499558248</v>
      </c>
      <c r="I15" s="67">
        <f t="shared" si="6"/>
        <v>265.43640499558251</v>
      </c>
      <c r="J15" s="67">
        <f>I15*Tariffs!$I$8</f>
        <v>46.451370874226939</v>
      </c>
      <c r="K15" s="81">
        <f t="shared" si="7"/>
        <v>311.88777586980945</v>
      </c>
      <c r="L15" s="81"/>
      <c r="M15" s="79">
        <f>IF($C15&lt;=Tariffs!$E$9,Tariffs!$G$9,IF(AND($C15&gt;Tariffs!$E$9,$C15&lt;=Tariffs!$E$10),Tariffs!$G$10,Tariffs!$G$11))</f>
        <v>12</v>
      </c>
      <c r="N15" s="79">
        <f>IF($C15&gt;Tariffs!$E$11,(Tariffs!$F$9*Tariffs!$H$9)+(Tariffs!$F$10*Tariffs!$H$10)+(Tariffs!$F$11*Tariffs!$H$11)+(($C15-Tariffs!$E$11)*Tariffs!$H$12),IF(AND($C15&gt;Tariffs!$E$9,$C15&lt;=Tariffs!$E$10),(Tariffs!$F$9*Tariffs!$H$9)+(($C15-Tariffs!$E$9)*Tariffs!$H$10),IF(AND($C15&gt;Tariffs!$E$10,$C15&lt;=Tariffs!$E$11),(Tariffs!$F$9*Tariffs!$H$9)+(Tariffs!$F$10*Tariffs!$H$10)+(($C15-Tariffs!$E$10)*Tariffs!$H$11),$C15*Tariffs!$H$9)))</f>
        <v>73</v>
      </c>
      <c r="O15" s="80">
        <f t="shared" si="8"/>
        <v>85</v>
      </c>
      <c r="P15" s="67">
        <f>$C15*Tariffs!$J$8</f>
        <v>180.43640499558248</v>
      </c>
      <c r="Q15" s="67"/>
      <c r="R15" s="67">
        <f>$C15*Tariffs!K$8</f>
        <v>7.0800000000000002E-2</v>
      </c>
      <c r="S15" s="67"/>
      <c r="T15" s="67">
        <f t="shared" si="0"/>
        <v>265.50720499558253</v>
      </c>
      <c r="U15" s="67"/>
      <c r="V15" s="67">
        <f>T15*(1+Tariffs!$I$8)</f>
        <v>311.9709658698095</v>
      </c>
      <c r="W15" s="82"/>
      <c r="X15" s="83">
        <f t="shared" si="1"/>
        <v>400</v>
      </c>
      <c r="Y15" s="67">
        <f t="shared" si="9"/>
        <v>8.3190000000058717E-2</v>
      </c>
      <c r="Z15" s="80">
        <f t="shared" si="2"/>
        <v>8.3190000000058717E-2</v>
      </c>
      <c r="AA15" s="286">
        <f t="shared" si="3"/>
        <v>2.6673055642545407E-4</v>
      </c>
      <c r="AB15" s="287">
        <f t="shared" si="4"/>
        <v>2.6673055642545407E-4</v>
      </c>
      <c r="AC15" s="66"/>
      <c r="AD15" s="66"/>
      <c r="AE15" s="66"/>
      <c r="AF15" s="66"/>
    </row>
    <row r="16" spans="2:32" x14ac:dyDescent="0.3">
      <c r="B16" s="66"/>
      <c r="C16" s="84">
        <v>450</v>
      </c>
      <c r="D16" s="85">
        <v>0.88721550985402042</v>
      </c>
      <c r="E16" s="86">
        <f>IF($C16&lt;=Tariffs!$E$9,Tariffs!$G$9,IF(AND($C16&gt;Tariffs!$E$9,$C16&lt;=Tariffs!$E$10),Tariffs!$G$10,Tariffs!$G$11))</f>
        <v>12</v>
      </c>
      <c r="F16" s="86">
        <f>IF($C16&gt;Tariffs!$E$11,(Tariffs!$F$9*Tariffs!$H$9)+(Tariffs!$F$10*Tariffs!$H$10)+(Tariffs!$F$11*Tariffs!$H$11)+(($C16-Tariffs!$E$11)*Tariffs!$H$12),IF(AND($C16&gt;Tariffs!$E$9,$C16&lt;=Tariffs!$E$10),(Tariffs!$F$9*Tariffs!$H$9)+(($C16-Tariffs!$E$9)*Tariffs!$H$10),IF(AND($C16&gt;Tariffs!$E$10,$C16&lt;=Tariffs!$E$11),(Tariffs!$F$9*Tariffs!$H$9)+(Tariffs!$F$10*Tariffs!$H$10)+(($C16-Tariffs!$E$10)*Tariffs!$H$11),$C16*Tariffs!$H$9)))</f>
        <v>82.800000000000011</v>
      </c>
      <c r="G16" s="87">
        <f t="shared" si="5"/>
        <v>94.800000000000011</v>
      </c>
      <c r="H16" s="88">
        <f>$C16*Tariffs!$J$8</f>
        <v>202.99095562003026</v>
      </c>
      <c r="I16" s="88">
        <f t="shared" si="6"/>
        <v>297.79095562003027</v>
      </c>
      <c r="J16" s="88">
        <f>I16*Tariffs!$I$8</f>
        <v>52.113417233505295</v>
      </c>
      <c r="K16" s="89">
        <f t="shared" si="7"/>
        <v>349.90437285353556</v>
      </c>
      <c r="L16" s="81"/>
      <c r="M16" s="86">
        <f>IF($C16&lt;=Tariffs!$E$9,Tariffs!$G$9,IF(AND($C16&gt;Tariffs!$E$9,$C16&lt;=Tariffs!$E$10),Tariffs!$G$10,Tariffs!$G$11))</f>
        <v>12</v>
      </c>
      <c r="N16" s="86">
        <f>IF($C16&gt;Tariffs!$E$11,(Tariffs!$F$9*Tariffs!$H$9)+(Tariffs!$F$10*Tariffs!$H$10)+(Tariffs!$F$11*Tariffs!$H$11)+(($C16-Tariffs!$E$11)*Tariffs!$H$12),IF(AND($C16&gt;Tariffs!$E$9,$C16&lt;=Tariffs!$E$10),(Tariffs!$F$9*Tariffs!$H$9)+(($C16-Tariffs!$E$9)*Tariffs!$H$10),IF(AND($C16&gt;Tariffs!$E$10,$C16&lt;=Tariffs!$E$11),(Tariffs!$F$9*Tariffs!$H$9)+(Tariffs!$F$10*Tariffs!$H$10)+(($C16-Tariffs!$E$10)*Tariffs!$H$11),$C16*Tariffs!$H$9)))</f>
        <v>82.800000000000011</v>
      </c>
      <c r="O16" s="87">
        <f t="shared" si="8"/>
        <v>94.800000000000011</v>
      </c>
      <c r="P16" s="88">
        <f>$C16*Tariffs!$J$8</f>
        <v>202.99095562003026</v>
      </c>
      <c r="Q16" s="67"/>
      <c r="R16" s="88">
        <f>$C16*Tariffs!K$8</f>
        <v>7.9649999999999999E-2</v>
      </c>
      <c r="S16" s="67"/>
      <c r="T16" s="88">
        <f t="shared" si="0"/>
        <v>297.87060562003029</v>
      </c>
      <c r="U16" s="67"/>
      <c r="V16" s="88">
        <f>T16*(1+Tariffs!$I$8)</f>
        <v>349.9979616035356</v>
      </c>
      <c r="W16" s="82"/>
      <c r="X16" s="90">
        <f t="shared" si="1"/>
        <v>450</v>
      </c>
      <c r="Y16" s="88">
        <f t="shared" si="9"/>
        <v>9.3588750000037635E-2</v>
      </c>
      <c r="Z16" s="87">
        <f t="shared" si="2"/>
        <v>9.3588750000037635E-2</v>
      </c>
      <c r="AA16" s="288">
        <f t="shared" si="3"/>
        <v>2.6746950670197833E-4</v>
      </c>
      <c r="AB16" s="289">
        <f t="shared" si="4"/>
        <v>2.6746950670197833E-4</v>
      </c>
      <c r="AC16" s="66"/>
      <c r="AD16" s="66"/>
      <c r="AE16" s="66"/>
      <c r="AF16" s="66"/>
    </row>
    <row r="17" spans="2:32" x14ac:dyDescent="0.3">
      <c r="B17" s="66"/>
      <c r="C17" s="77">
        <v>500</v>
      </c>
      <c r="D17" s="78">
        <v>0.91174084953119194</v>
      </c>
      <c r="E17" s="79">
        <f>IF($C17&lt;=Tariffs!$E$9,Tariffs!$G$9,IF(AND($C17&gt;Tariffs!$E$9,$C17&lt;=Tariffs!$E$10),Tariffs!$G$10,Tariffs!$G$11))</f>
        <v>12</v>
      </c>
      <c r="F17" s="79">
        <f>IF($C17&gt;Tariffs!$E$11,(Tariffs!$F$9*Tariffs!$H$9)+(Tariffs!$F$10*Tariffs!$H$10)+(Tariffs!$F$11*Tariffs!$H$11)+(($C17-Tariffs!$E$11)*Tariffs!$H$12),IF(AND($C17&gt;Tariffs!$E$9,$C17&lt;=Tariffs!$E$10),(Tariffs!$F$9*Tariffs!$H$9)+(($C17-Tariffs!$E$9)*Tariffs!$H$10),IF(AND($C17&gt;Tariffs!$E$10,$C17&lt;=Tariffs!$E$11),(Tariffs!$F$9*Tariffs!$H$9)+(Tariffs!$F$10*Tariffs!$H$10)+(($C17-Tariffs!$E$10)*Tariffs!$H$11),$C17*Tariffs!$H$9)))</f>
        <v>92.600000000000009</v>
      </c>
      <c r="G17" s="80">
        <f t="shared" si="5"/>
        <v>104.60000000000001</v>
      </c>
      <c r="H17" s="67">
        <f>$C17*Tariffs!$J$8</f>
        <v>225.54550624447808</v>
      </c>
      <c r="I17" s="67">
        <f t="shared" si="6"/>
        <v>330.1455062444781</v>
      </c>
      <c r="J17" s="67">
        <f>I17*Tariffs!$I$8</f>
        <v>57.775463592783666</v>
      </c>
      <c r="K17" s="81">
        <f t="shared" si="7"/>
        <v>387.92096983726174</v>
      </c>
      <c r="L17" s="81"/>
      <c r="M17" s="79">
        <f>IF($C17&lt;=Tariffs!$E$9,Tariffs!$G$9,IF(AND($C17&gt;Tariffs!$E$9,$C17&lt;=Tariffs!$E$10),Tariffs!$G$10,Tariffs!$G$11))</f>
        <v>12</v>
      </c>
      <c r="N17" s="79">
        <f>IF($C17&gt;Tariffs!$E$11,(Tariffs!$F$9*Tariffs!$H$9)+(Tariffs!$F$10*Tariffs!$H$10)+(Tariffs!$F$11*Tariffs!$H$11)+(($C17-Tariffs!$E$11)*Tariffs!$H$12),IF(AND($C17&gt;Tariffs!$E$9,$C17&lt;=Tariffs!$E$10),(Tariffs!$F$9*Tariffs!$H$9)+(($C17-Tariffs!$E$9)*Tariffs!$H$10),IF(AND($C17&gt;Tariffs!$E$10,$C17&lt;=Tariffs!$E$11),(Tariffs!$F$9*Tariffs!$H$9)+(Tariffs!$F$10*Tariffs!$H$10)+(($C17-Tariffs!$E$10)*Tariffs!$H$11),$C17*Tariffs!$H$9)))</f>
        <v>92.600000000000009</v>
      </c>
      <c r="O17" s="80">
        <f t="shared" si="8"/>
        <v>104.60000000000001</v>
      </c>
      <c r="P17" s="67">
        <f>$C17*Tariffs!$J$8</f>
        <v>225.54550624447808</v>
      </c>
      <c r="Q17" s="67"/>
      <c r="R17" s="67">
        <f>$C17*Tariffs!K$8</f>
        <v>8.8499999999999995E-2</v>
      </c>
      <c r="S17" s="67"/>
      <c r="T17" s="67">
        <f t="shared" si="0"/>
        <v>330.23400624447811</v>
      </c>
      <c r="U17" s="67"/>
      <c r="V17" s="67">
        <f>T17*(1+Tariffs!$I$8)</f>
        <v>388.02495733726181</v>
      </c>
      <c r="W17" s="82"/>
      <c r="X17" s="83">
        <f t="shared" si="1"/>
        <v>500</v>
      </c>
      <c r="Y17" s="67">
        <f t="shared" si="9"/>
        <v>0.1039875000000734</v>
      </c>
      <c r="Z17" s="80">
        <f t="shared" si="2"/>
        <v>0.1039875000000734</v>
      </c>
      <c r="AA17" s="286">
        <f t="shared" si="3"/>
        <v>2.6806362142184348E-4</v>
      </c>
      <c r="AB17" s="287">
        <f t="shared" si="4"/>
        <v>2.6806362142184348E-4</v>
      </c>
      <c r="AC17" s="66"/>
      <c r="AD17" s="66"/>
      <c r="AE17" s="66"/>
      <c r="AF17" s="66"/>
    </row>
    <row r="18" spans="2:32" x14ac:dyDescent="0.3">
      <c r="B18" s="66"/>
      <c r="C18" s="84">
        <v>600</v>
      </c>
      <c r="D18" s="85">
        <v>0.94252602837402377</v>
      </c>
      <c r="E18" s="86">
        <f>IF($C18&lt;=Tariffs!$E$9,Tariffs!$G$9,IF(AND($C18&gt;Tariffs!$E$9,$C18&lt;=Tariffs!$E$10),Tariffs!$G$10,Tariffs!$G$11))</f>
        <v>17</v>
      </c>
      <c r="F18" s="86">
        <f>IF($C18&gt;Tariffs!$E$11,(Tariffs!$F$9*Tariffs!$H$9)+(Tariffs!$F$10*Tariffs!$H$10)+(Tariffs!$F$11*Tariffs!$H$11)+(($C18-Tariffs!$E$11)*Tariffs!$H$12),IF(AND($C18&gt;Tariffs!$E$9,$C18&lt;=Tariffs!$E$10),(Tariffs!$F$9*Tariffs!$H$9)+(($C18-Tariffs!$E$9)*Tariffs!$H$10),IF(AND($C18&gt;Tariffs!$E$10,$C18&lt;=Tariffs!$E$11),(Tariffs!$F$9*Tariffs!$H$9)+(Tariffs!$F$10*Tariffs!$H$10)+(($C18-Tariffs!$E$10)*Tariffs!$H$11),$C18*Tariffs!$H$9)))</f>
        <v>115.10000000000001</v>
      </c>
      <c r="G18" s="87">
        <f t="shared" si="5"/>
        <v>132.10000000000002</v>
      </c>
      <c r="H18" s="88">
        <f>$C18*Tariffs!$J$8</f>
        <v>270.6546074933737</v>
      </c>
      <c r="I18" s="88">
        <f t="shared" si="6"/>
        <v>402.75460749337373</v>
      </c>
      <c r="J18" s="88">
        <f>I18*Tariffs!$I$8</f>
        <v>70.482056311340401</v>
      </c>
      <c r="K18" s="89">
        <f t="shared" si="7"/>
        <v>473.23666380471411</v>
      </c>
      <c r="L18" s="81"/>
      <c r="M18" s="86">
        <f>IF($C18&lt;=Tariffs!$E$9,Tariffs!$G$9,IF(AND($C18&gt;Tariffs!$E$9,$C18&lt;=Tariffs!$E$10),Tariffs!$G$10,Tariffs!$G$11))</f>
        <v>17</v>
      </c>
      <c r="N18" s="86">
        <f>IF($C18&gt;Tariffs!$E$11,(Tariffs!$F$9*Tariffs!$H$9)+(Tariffs!$F$10*Tariffs!$H$10)+(Tariffs!$F$11*Tariffs!$H$11)+(($C18-Tariffs!$E$11)*Tariffs!$H$12),IF(AND($C18&gt;Tariffs!$E$9,$C18&lt;=Tariffs!$E$10),(Tariffs!$F$9*Tariffs!$H$9)+(($C18-Tariffs!$E$9)*Tariffs!$H$10),IF(AND($C18&gt;Tariffs!$E$10,$C18&lt;=Tariffs!$E$11),(Tariffs!$F$9*Tariffs!$H$9)+(Tariffs!$F$10*Tariffs!$H$10)+(($C18-Tariffs!$E$10)*Tariffs!$H$11),$C18*Tariffs!$H$9)))</f>
        <v>115.10000000000001</v>
      </c>
      <c r="O18" s="87">
        <f t="shared" si="8"/>
        <v>132.10000000000002</v>
      </c>
      <c r="P18" s="88">
        <f>$C18*Tariffs!$J$8</f>
        <v>270.6546074933737</v>
      </c>
      <c r="Q18" s="67"/>
      <c r="R18" s="88">
        <f>$C18*Tariffs!K$8</f>
        <v>0.10619999999999999</v>
      </c>
      <c r="S18" s="67"/>
      <c r="T18" s="88">
        <f t="shared" si="0"/>
        <v>402.86080749337373</v>
      </c>
      <c r="U18" s="67"/>
      <c r="V18" s="88">
        <f>T18*(1+Tariffs!$I$8)</f>
        <v>473.36144880471414</v>
      </c>
      <c r="W18" s="82"/>
      <c r="X18" s="90">
        <f t="shared" si="1"/>
        <v>600</v>
      </c>
      <c r="Y18" s="88">
        <f t="shared" si="9"/>
        <v>0.12478500000003123</v>
      </c>
      <c r="Z18" s="87">
        <f t="shared" si="2"/>
        <v>0.12478500000003123</v>
      </c>
      <c r="AA18" s="288">
        <f t="shared" si="3"/>
        <v>2.6368413426980375E-4</v>
      </c>
      <c r="AB18" s="289">
        <f t="shared" si="4"/>
        <v>2.6368413426980375E-4</v>
      </c>
      <c r="AC18" s="66"/>
      <c r="AD18" s="66"/>
      <c r="AE18" s="66"/>
      <c r="AF18" s="66"/>
    </row>
    <row r="19" spans="2:32" x14ac:dyDescent="0.3">
      <c r="B19" s="66"/>
      <c r="C19" s="77">
        <v>700</v>
      </c>
      <c r="D19" s="78">
        <v>0.96006202567078125</v>
      </c>
      <c r="E19" s="79">
        <f>IF($C19&lt;=Tariffs!$E$9,Tariffs!$G$9,IF(AND($C19&gt;Tariffs!$E$9,$C19&lt;=Tariffs!$E$10),Tariffs!$G$10,Tariffs!$G$11))</f>
        <v>17</v>
      </c>
      <c r="F19" s="79">
        <f>IF($C19&gt;Tariffs!$E$11,(Tariffs!$F$9*Tariffs!$H$9)+(Tariffs!$F$10*Tariffs!$H$10)+(Tariffs!$F$11*Tariffs!$H$11)+(($C19-Tariffs!$E$11)*Tariffs!$H$12),IF(AND($C19&gt;Tariffs!$E$9,$C19&lt;=Tariffs!$E$10),(Tariffs!$F$9*Tariffs!$H$9)+(($C19-Tariffs!$E$9)*Tariffs!$H$10),IF(AND($C19&gt;Tariffs!$E$10,$C19&lt;=Tariffs!$E$11),(Tariffs!$F$9*Tariffs!$H$9)+(Tariffs!$F$10*Tariffs!$H$10)+(($C19-Tariffs!$E$10)*Tariffs!$H$11),$C19*Tariffs!$H$9)))</f>
        <v>137.60000000000002</v>
      </c>
      <c r="G19" s="80">
        <f t="shared" si="5"/>
        <v>154.60000000000002</v>
      </c>
      <c r="H19" s="67">
        <f>$C19*Tariffs!$J$8</f>
        <v>315.76370874226933</v>
      </c>
      <c r="I19" s="67">
        <f t="shared" si="6"/>
        <v>470.36370874226935</v>
      </c>
      <c r="J19" s="67">
        <f>I19*Tariffs!$I$8</f>
        <v>82.313649029897135</v>
      </c>
      <c r="K19" s="81">
        <f t="shared" si="7"/>
        <v>552.67735777216649</v>
      </c>
      <c r="L19" s="81"/>
      <c r="M19" s="79">
        <f>IF($C19&lt;=Tariffs!$E$9,Tariffs!$G$9,IF(AND($C19&gt;Tariffs!$E$9,$C19&lt;=Tariffs!$E$10),Tariffs!$G$10,Tariffs!$G$11))</f>
        <v>17</v>
      </c>
      <c r="N19" s="79">
        <f>IF($C19&gt;Tariffs!$E$11,(Tariffs!$F$9*Tariffs!$H$9)+(Tariffs!$F$10*Tariffs!$H$10)+(Tariffs!$F$11*Tariffs!$H$11)+(($C19-Tariffs!$E$11)*Tariffs!$H$12),IF(AND($C19&gt;Tariffs!$E$9,$C19&lt;=Tariffs!$E$10),(Tariffs!$F$9*Tariffs!$H$9)+(($C19-Tariffs!$E$9)*Tariffs!$H$10),IF(AND($C19&gt;Tariffs!$E$10,$C19&lt;=Tariffs!$E$11),(Tariffs!$F$9*Tariffs!$H$9)+(Tariffs!$F$10*Tariffs!$H$10)+(($C19-Tariffs!$E$10)*Tariffs!$H$11),$C19*Tariffs!$H$9)))</f>
        <v>137.60000000000002</v>
      </c>
      <c r="O19" s="80">
        <f t="shared" si="8"/>
        <v>154.60000000000002</v>
      </c>
      <c r="P19" s="67">
        <f>$C19*Tariffs!$J$8</f>
        <v>315.76370874226933</v>
      </c>
      <c r="Q19" s="67"/>
      <c r="R19" s="67">
        <f>$C19*Tariffs!K$8</f>
        <v>0.1239</v>
      </c>
      <c r="S19" s="67"/>
      <c r="T19" s="67">
        <f t="shared" si="0"/>
        <v>470.48760874226934</v>
      </c>
      <c r="U19" s="67"/>
      <c r="V19" s="67">
        <f>T19*(1+Tariffs!$I$8)</f>
        <v>552.82294027216653</v>
      </c>
      <c r="W19" s="82"/>
      <c r="X19" s="83">
        <f t="shared" si="1"/>
        <v>700</v>
      </c>
      <c r="Y19" s="67">
        <f t="shared" si="9"/>
        <v>0.14558250000004591</v>
      </c>
      <c r="Z19" s="80">
        <f t="shared" si="2"/>
        <v>0.14558250000004591</v>
      </c>
      <c r="AA19" s="286">
        <f t="shared" si="3"/>
        <v>2.6341317941236397E-4</v>
      </c>
      <c r="AB19" s="287">
        <f t="shared" si="4"/>
        <v>2.6341317941236397E-4</v>
      </c>
      <c r="AC19" s="66"/>
      <c r="AD19" s="66"/>
      <c r="AE19" s="66"/>
      <c r="AF19" s="66"/>
    </row>
    <row r="20" spans="2:32" x14ac:dyDescent="0.3">
      <c r="B20" s="66"/>
      <c r="C20" s="84">
        <v>800</v>
      </c>
      <c r="D20" s="85">
        <v>0.97093942689253809</v>
      </c>
      <c r="E20" s="86">
        <f>IF($C20&lt;=Tariffs!$E$9,Tariffs!$G$9,IF(AND($C20&gt;Tariffs!$E$9,$C20&lt;=Tariffs!$E$10),Tariffs!$G$10,Tariffs!$G$11))</f>
        <v>17</v>
      </c>
      <c r="F20" s="86">
        <f>IF($C20&gt;Tariffs!$E$11,(Tariffs!$F$9*Tariffs!$H$9)+(Tariffs!$F$10*Tariffs!$H$10)+(Tariffs!$F$11*Tariffs!$H$11)+(($C20-Tariffs!$E$11)*Tariffs!$H$12),IF(AND($C20&gt;Tariffs!$E$9,$C20&lt;=Tariffs!$E$10),(Tariffs!$F$9*Tariffs!$H$9)+(($C20-Tariffs!$E$9)*Tariffs!$H$10),IF(AND($C20&gt;Tariffs!$E$10,$C20&lt;=Tariffs!$E$11),(Tariffs!$F$9*Tariffs!$H$9)+(Tariffs!$F$10*Tariffs!$H$10)+(($C20-Tariffs!$E$10)*Tariffs!$H$11),$C20*Tariffs!$H$9)))</f>
        <v>160.10000000000002</v>
      </c>
      <c r="G20" s="87">
        <f t="shared" si="5"/>
        <v>177.10000000000002</v>
      </c>
      <c r="H20" s="88">
        <f>$C20*Tariffs!$J$8</f>
        <v>360.87280999116496</v>
      </c>
      <c r="I20" s="88">
        <f t="shared" si="6"/>
        <v>537.97280999116492</v>
      </c>
      <c r="J20" s="88">
        <f>I20*Tariffs!$I$8</f>
        <v>94.145241748453856</v>
      </c>
      <c r="K20" s="89">
        <f t="shared" si="7"/>
        <v>632.11805173961875</v>
      </c>
      <c r="L20" s="81"/>
      <c r="M20" s="86">
        <f>IF($C20&lt;=Tariffs!$E$9,Tariffs!$G$9,IF(AND($C20&gt;Tariffs!$E$9,$C20&lt;=Tariffs!$E$10),Tariffs!$G$10,Tariffs!$G$11))</f>
        <v>17</v>
      </c>
      <c r="N20" s="86">
        <f>IF($C20&gt;Tariffs!$E$11,(Tariffs!$F$9*Tariffs!$H$9)+(Tariffs!$F$10*Tariffs!$H$10)+(Tariffs!$F$11*Tariffs!$H$11)+(($C20-Tariffs!$E$11)*Tariffs!$H$12),IF(AND($C20&gt;Tariffs!$E$9,$C20&lt;=Tariffs!$E$10),(Tariffs!$F$9*Tariffs!$H$9)+(($C20-Tariffs!$E$9)*Tariffs!$H$10),IF(AND($C20&gt;Tariffs!$E$10,$C20&lt;=Tariffs!$E$11),(Tariffs!$F$9*Tariffs!$H$9)+(Tariffs!$F$10*Tariffs!$H$10)+(($C20-Tariffs!$E$10)*Tariffs!$H$11),$C20*Tariffs!$H$9)))</f>
        <v>160.10000000000002</v>
      </c>
      <c r="O20" s="87">
        <f t="shared" si="8"/>
        <v>177.10000000000002</v>
      </c>
      <c r="P20" s="88">
        <f>$C20*Tariffs!$J$8</f>
        <v>360.87280999116496</v>
      </c>
      <c r="Q20" s="67"/>
      <c r="R20" s="88">
        <f>$C20*Tariffs!K$8</f>
        <v>0.1416</v>
      </c>
      <c r="S20" s="67"/>
      <c r="T20" s="88">
        <f t="shared" si="0"/>
        <v>538.11440999116496</v>
      </c>
      <c r="U20" s="67"/>
      <c r="V20" s="88">
        <f>T20*(1+Tariffs!$I$8)</f>
        <v>632.28443173961887</v>
      </c>
      <c r="W20" s="82"/>
      <c r="X20" s="90">
        <f t="shared" si="1"/>
        <v>800</v>
      </c>
      <c r="Y20" s="88">
        <f t="shared" si="9"/>
        <v>0.16638000000011743</v>
      </c>
      <c r="Z20" s="87">
        <f t="shared" si="2"/>
        <v>0.16638000000011743</v>
      </c>
      <c r="AA20" s="288">
        <f t="shared" si="3"/>
        <v>2.6321032842235859E-4</v>
      </c>
      <c r="AB20" s="289">
        <f t="shared" si="4"/>
        <v>2.6321032842235859E-4</v>
      </c>
      <c r="AC20" s="66"/>
      <c r="AD20" s="66"/>
      <c r="AE20" s="66"/>
      <c r="AF20" s="66"/>
    </row>
    <row r="21" spans="2:32" x14ac:dyDescent="0.3">
      <c r="B21" s="66"/>
      <c r="C21" s="77">
        <v>900</v>
      </c>
      <c r="D21" s="78">
        <v>0.97797243923968424</v>
      </c>
      <c r="E21" s="79">
        <f>IF($C21&lt;=Tariffs!$E$9,Tariffs!$G$9,IF(AND($C21&gt;Tariffs!$E$9,$C21&lt;=Tariffs!$E$10),Tariffs!$G$10,Tariffs!$G$11))</f>
        <v>17</v>
      </c>
      <c r="F21" s="79">
        <f>IF($C21&gt;Tariffs!$E$11,(Tariffs!$F$9*Tariffs!$H$9)+(Tariffs!$F$10*Tariffs!$H$10)+(Tariffs!$F$11*Tariffs!$H$11)+(($C21-Tariffs!$E$11)*Tariffs!$H$12),IF(AND($C21&gt;Tariffs!$E$9,$C21&lt;=Tariffs!$E$10),(Tariffs!$F$9*Tariffs!$H$9)+(($C21-Tariffs!$E$9)*Tariffs!$H$10),IF(AND($C21&gt;Tariffs!$E$10,$C21&lt;=Tariffs!$E$11),(Tariffs!$F$9*Tariffs!$H$9)+(Tariffs!$F$10*Tariffs!$H$10)+(($C21-Tariffs!$E$10)*Tariffs!$H$11),$C21*Tariffs!$H$9)))</f>
        <v>182.60000000000002</v>
      </c>
      <c r="G21" s="80">
        <f t="shared" si="5"/>
        <v>199.60000000000002</v>
      </c>
      <c r="H21" s="67">
        <f>$C21*Tariffs!$J$8</f>
        <v>405.98191124006053</v>
      </c>
      <c r="I21" s="67">
        <f t="shared" si="6"/>
        <v>605.58191124006055</v>
      </c>
      <c r="J21" s="67">
        <f>I21*Tariffs!$I$8</f>
        <v>105.97683446701059</v>
      </c>
      <c r="K21" s="81">
        <f t="shared" si="7"/>
        <v>711.55874570707113</v>
      </c>
      <c r="L21" s="81"/>
      <c r="M21" s="79">
        <f>IF($C21&lt;=Tariffs!$E$9,Tariffs!$G$9,IF(AND($C21&gt;Tariffs!$E$9,$C21&lt;=Tariffs!$E$10),Tariffs!$G$10,Tariffs!$G$11))</f>
        <v>17</v>
      </c>
      <c r="N21" s="79">
        <f>IF($C21&gt;Tariffs!$E$11,(Tariffs!$F$9*Tariffs!$H$9)+(Tariffs!$F$10*Tariffs!$H$10)+(Tariffs!$F$11*Tariffs!$H$11)+(($C21-Tariffs!$E$11)*Tariffs!$H$12),IF(AND($C21&gt;Tariffs!$E$9,$C21&lt;=Tariffs!$E$10),(Tariffs!$F$9*Tariffs!$H$9)+(($C21-Tariffs!$E$9)*Tariffs!$H$10),IF(AND($C21&gt;Tariffs!$E$10,$C21&lt;=Tariffs!$E$11),(Tariffs!$F$9*Tariffs!$H$9)+(Tariffs!$F$10*Tariffs!$H$10)+(($C21-Tariffs!$E$10)*Tariffs!$H$11),$C21*Tariffs!$H$9)))</f>
        <v>182.60000000000002</v>
      </c>
      <c r="O21" s="80">
        <f t="shared" si="8"/>
        <v>199.60000000000002</v>
      </c>
      <c r="P21" s="67">
        <f>$C21*Tariffs!$J$8</f>
        <v>405.98191124006053</v>
      </c>
      <c r="Q21" s="67"/>
      <c r="R21" s="67">
        <f>$C21*Tariffs!K$8</f>
        <v>0.1593</v>
      </c>
      <c r="S21" s="67"/>
      <c r="T21" s="67">
        <f t="shared" si="0"/>
        <v>605.74121124006058</v>
      </c>
      <c r="U21" s="67"/>
      <c r="V21" s="67">
        <f>T21*(1+Tariffs!$I$8)</f>
        <v>711.7459232070712</v>
      </c>
      <c r="W21" s="82"/>
      <c r="X21" s="83">
        <f t="shared" si="1"/>
        <v>900</v>
      </c>
      <c r="Y21" s="67">
        <f t="shared" si="9"/>
        <v>0.18717750000007527</v>
      </c>
      <c r="Z21" s="80">
        <f t="shared" si="2"/>
        <v>0.18717750000007527</v>
      </c>
      <c r="AA21" s="286">
        <f t="shared" si="3"/>
        <v>2.6305277129878846E-4</v>
      </c>
      <c r="AB21" s="287">
        <f t="shared" si="4"/>
        <v>2.6305277129878846E-4</v>
      </c>
      <c r="AC21" s="66"/>
      <c r="AD21" s="66"/>
      <c r="AE21" s="66"/>
      <c r="AF21" s="66"/>
    </row>
    <row r="22" spans="2:32" x14ac:dyDescent="0.3">
      <c r="B22" s="66"/>
      <c r="C22" s="84">
        <v>1000</v>
      </c>
      <c r="D22" s="85">
        <v>0.98278472639334025</v>
      </c>
      <c r="E22" s="86">
        <f>IF($C22&lt;=Tariffs!$E$9,Tariffs!$G$9,IF(AND($C22&gt;Tariffs!$E$9,$C22&lt;=Tariffs!$E$10),Tariffs!$G$10,Tariffs!$G$11))</f>
        <v>17</v>
      </c>
      <c r="F22" s="86">
        <f>IF($C22&gt;Tariffs!$E$11,(Tariffs!$F$9*Tariffs!$H$9)+(Tariffs!$F$10*Tariffs!$H$10)+(Tariffs!$F$11*Tariffs!$H$11)+(($C22-Tariffs!$E$11)*Tariffs!$H$12),IF(AND($C22&gt;Tariffs!$E$9,$C22&lt;=Tariffs!$E$10),(Tariffs!$F$9*Tariffs!$H$9)+(($C22-Tariffs!$E$9)*Tariffs!$H$10),IF(AND($C22&gt;Tariffs!$E$10,$C22&lt;=Tariffs!$E$11),(Tariffs!$F$9*Tariffs!$H$9)+(Tariffs!$F$10*Tariffs!$H$10)+(($C22-Tariffs!$E$10)*Tariffs!$H$11),$C22*Tariffs!$H$9)))</f>
        <v>205.10000000000002</v>
      </c>
      <c r="G22" s="87">
        <f t="shared" si="5"/>
        <v>222.10000000000002</v>
      </c>
      <c r="H22" s="88">
        <f>$C22*Tariffs!$J$8</f>
        <v>451.09101248895615</v>
      </c>
      <c r="I22" s="88">
        <f t="shared" si="6"/>
        <v>673.19101248895618</v>
      </c>
      <c r="J22" s="88">
        <f>I22*Tariffs!$I$8</f>
        <v>117.80842718556733</v>
      </c>
      <c r="K22" s="89">
        <f t="shared" si="7"/>
        <v>790.9994396745235</v>
      </c>
      <c r="L22" s="81"/>
      <c r="M22" s="86">
        <f>IF($C22&lt;=Tariffs!$E$9,Tariffs!$G$9,IF(AND($C22&gt;Tariffs!$E$9,$C22&lt;=Tariffs!$E$10),Tariffs!$G$10,Tariffs!$G$11))</f>
        <v>17</v>
      </c>
      <c r="N22" s="86">
        <f>IF($C22&gt;Tariffs!$E$11,(Tariffs!$F$9*Tariffs!$H$9)+(Tariffs!$F$10*Tariffs!$H$10)+(Tariffs!$F$11*Tariffs!$H$11)+(($C22-Tariffs!$E$11)*Tariffs!$H$12),IF(AND($C22&gt;Tariffs!$E$9,$C22&lt;=Tariffs!$E$10),(Tariffs!$F$9*Tariffs!$H$9)+(($C22-Tariffs!$E$9)*Tariffs!$H$10),IF(AND($C22&gt;Tariffs!$E$10,$C22&lt;=Tariffs!$E$11),(Tariffs!$F$9*Tariffs!$H$9)+(Tariffs!$F$10*Tariffs!$H$10)+(($C22-Tariffs!$E$10)*Tariffs!$H$11),$C22*Tariffs!$H$9)))</f>
        <v>205.10000000000002</v>
      </c>
      <c r="O22" s="87">
        <f t="shared" si="8"/>
        <v>222.10000000000002</v>
      </c>
      <c r="P22" s="88">
        <f>$C22*Tariffs!$J$8</f>
        <v>451.09101248895615</v>
      </c>
      <c r="Q22" s="67"/>
      <c r="R22" s="88">
        <f>$C22*Tariffs!K$8</f>
        <v>0.17699999999999999</v>
      </c>
      <c r="S22" s="67"/>
      <c r="T22" s="88">
        <f t="shared" si="0"/>
        <v>673.3680124889562</v>
      </c>
      <c r="U22" s="67"/>
      <c r="V22" s="88">
        <f>T22*(1+Tariffs!$I$8)</f>
        <v>791.20741467452353</v>
      </c>
      <c r="W22" s="82"/>
      <c r="X22" s="90">
        <f t="shared" si="1"/>
        <v>1000</v>
      </c>
      <c r="Y22" s="88">
        <f t="shared" si="9"/>
        <v>0.20797500000003311</v>
      </c>
      <c r="Z22" s="87">
        <f t="shared" si="2"/>
        <v>0.20797500000003311</v>
      </c>
      <c r="AA22" s="288">
        <f t="shared" si="3"/>
        <v>2.6292686134588017E-4</v>
      </c>
      <c r="AB22" s="289">
        <f t="shared" si="4"/>
        <v>2.6292686134588017E-4</v>
      </c>
      <c r="AC22" s="66"/>
      <c r="AD22" s="66"/>
      <c r="AE22" s="66"/>
      <c r="AF22" s="66"/>
    </row>
    <row r="23" spans="2:32" x14ac:dyDescent="0.3">
      <c r="B23" s="66"/>
      <c r="C23" s="77">
        <v>1100</v>
      </c>
      <c r="D23" s="78">
        <v>0.98635993645661879</v>
      </c>
      <c r="E23" s="79">
        <f>IF($C23&lt;=Tariffs!$E$9,Tariffs!$G$9,IF(AND($C23&gt;Tariffs!$E$9,$C23&lt;=Tariffs!$E$10),Tariffs!$G$10,Tariffs!$G$11))</f>
        <v>17</v>
      </c>
      <c r="F23" s="79">
        <f>IF($C23&gt;Tariffs!$E$11,(Tariffs!$F$9*Tariffs!$H$9)+(Tariffs!$F$10*Tariffs!$H$10)+(Tariffs!$F$11*Tariffs!$H$11)+(($C23-Tariffs!$E$11)*Tariffs!$H$12),IF(AND($C23&gt;Tariffs!$E$9,$C23&lt;=Tariffs!$E$10),(Tariffs!$F$9*Tariffs!$H$9)+(($C23-Tariffs!$E$9)*Tariffs!$H$10),IF(AND($C23&gt;Tariffs!$E$10,$C23&lt;=Tariffs!$E$11),(Tariffs!$F$9*Tariffs!$H$9)+(Tariffs!$F$10*Tariffs!$H$10)+(($C23-Tariffs!$E$10)*Tariffs!$H$11),$C23*Tariffs!$H$9)))</f>
        <v>227.60000000000002</v>
      </c>
      <c r="G23" s="80">
        <f t="shared" si="5"/>
        <v>244.60000000000002</v>
      </c>
      <c r="H23" s="67">
        <f>$C23*Tariffs!$J$8</f>
        <v>496.20011373785178</v>
      </c>
      <c r="I23" s="67">
        <f t="shared" si="6"/>
        <v>740.8001137378518</v>
      </c>
      <c r="J23" s="67">
        <f>I23*Tariffs!$I$8</f>
        <v>129.64001990412405</v>
      </c>
      <c r="K23" s="81">
        <f t="shared" si="7"/>
        <v>870.44013364197588</v>
      </c>
      <c r="L23" s="81"/>
      <c r="M23" s="79">
        <f>IF($C23&lt;=Tariffs!$E$9,Tariffs!$G$9,IF(AND($C23&gt;Tariffs!$E$9,$C23&lt;=Tariffs!$E$10),Tariffs!$G$10,Tariffs!$G$11))</f>
        <v>17</v>
      </c>
      <c r="N23" s="79">
        <f>IF($C23&gt;Tariffs!$E$11,(Tariffs!$F$9*Tariffs!$H$9)+(Tariffs!$F$10*Tariffs!$H$10)+(Tariffs!$F$11*Tariffs!$H$11)+(($C23-Tariffs!$E$11)*Tariffs!$H$12),IF(AND($C23&gt;Tariffs!$E$9,$C23&lt;=Tariffs!$E$10),(Tariffs!$F$9*Tariffs!$H$9)+(($C23-Tariffs!$E$9)*Tariffs!$H$10),IF(AND($C23&gt;Tariffs!$E$10,$C23&lt;=Tariffs!$E$11),(Tariffs!$F$9*Tariffs!$H$9)+(Tariffs!$F$10*Tariffs!$H$10)+(($C23-Tariffs!$E$10)*Tariffs!$H$11),$C23*Tariffs!$H$9)))</f>
        <v>227.60000000000002</v>
      </c>
      <c r="O23" s="80">
        <f t="shared" si="8"/>
        <v>244.60000000000002</v>
      </c>
      <c r="P23" s="67">
        <f>$C23*Tariffs!$J$8</f>
        <v>496.20011373785178</v>
      </c>
      <c r="Q23" s="67"/>
      <c r="R23" s="67">
        <f>$C23*Tariffs!K$8</f>
        <v>0.19469999999999998</v>
      </c>
      <c r="S23" s="67"/>
      <c r="T23" s="67">
        <f t="shared" si="0"/>
        <v>740.99481373785181</v>
      </c>
      <c r="U23" s="67"/>
      <c r="V23" s="67">
        <f>T23*(1+Tariffs!$I$8)</f>
        <v>870.66890614197587</v>
      </c>
      <c r="W23" s="82"/>
      <c r="X23" s="83">
        <f t="shared" si="1"/>
        <v>1100</v>
      </c>
      <c r="Y23" s="67">
        <f t="shared" si="9"/>
        <v>0.22877249999999094</v>
      </c>
      <c r="Z23" s="80">
        <f t="shared" si="2"/>
        <v>0.22877249999999094</v>
      </c>
      <c r="AA23" s="286">
        <f t="shared" si="3"/>
        <v>2.6282393372967228E-4</v>
      </c>
      <c r="AB23" s="287">
        <f t="shared" si="4"/>
        <v>2.6282393372967228E-4</v>
      </c>
      <c r="AC23" s="66"/>
      <c r="AD23" s="66"/>
      <c r="AE23" s="66"/>
      <c r="AF23" s="66"/>
    </row>
    <row r="24" spans="2:32" x14ac:dyDescent="0.3">
      <c r="B24" s="66"/>
      <c r="C24" s="84">
        <v>1200</v>
      </c>
      <c r="D24" s="85">
        <v>0.98893646449381123</v>
      </c>
      <c r="E24" s="86">
        <f>IF($C24&lt;=Tariffs!$E$9,Tariffs!$G$9,IF(AND($C24&gt;Tariffs!$E$9,$C24&lt;=Tariffs!$E$10),Tariffs!$G$10,Tariffs!$G$11))</f>
        <v>17</v>
      </c>
      <c r="F24" s="86">
        <f>IF($C24&gt;Tariffs!$E$11,(Tariffs!$F$9*Tariffs!$H$9)+(Tariffs!$F$10*Tariffs!$H$10)+(Tariffs!$F$11*Tariffs!$H$11)+(($C24-Tariffs!$E$11)*Tariffs!$H$12),IF(AND($C24&gt;Tariffs!$E$9,$C24&lt;=Tariffs!$E$10),(Tariffs!$F$9*Tariffs!$H$9)+(($C24-Tariffs!$E$9)*Tariffs!$H$10),IF(AND($C24&gt;Tariffs!$E$10,$C24&lt;=Tariffs!$E$11),(Tariffs!$F$9*Tariffs!$H$9)+(Tariffs!$F$10*Tariffs!$H$10)+(($C24-Tariffs!$E$10)*Tariffs!$H$11),$C24*Tariffs!$H$9)))</f>
        <v>250.10000000000002</v>
      </c>
      <c r="G24" s="87">
        <f t="shared" si="5"/>
        <v>267.10000000000002</v>
      </c>
      <c r="H24" s="88">
        <f>$C24*Tariffs!$J$8</f>
        <v>541.30921498674741</v>
      </c>
      <c r="I24" s="88">
        <f t="shared" si="6"/>
        <v>808.40921498674743</v>
      </c>
      <c r="J24" s="88">
        <f>I24*Tariffs!$I$8</f>
        <v>141.47161262268079</v>
      </c>
      <c r="K24" s="89">
        <f t="shared" si="7"/>
        <v>949.88082760942825</v>
      </c>
      <c r="L24" s="81"/>
      <c r="M24" s="86">
        <f>IF($C24&lt;=Tariffs!$E$9,Tariffs!$G$9,IF(AND($C24&gt;Tariffs!$E$9,$C24&lt;=Tariffs!$E$10),Tariffs!$G$10,Tariffs!$G$11))</f>
        <v>17</v>
      </c>
      <c r="N24" s="86">
        <f>IF($C24&gt;Tariffs!$E$11,(Tariffs!$F$9*Tariffs!$H$9)+(Tariffs!$F$10*Tariffs!$H$10)+(Tariffs!$F$11*Tariffs!$H$11)+(($C24-Tariffs!$E$11)*Tariffs!$H$12),IF(AND($C24&gt;Tariffs!$E$9,$C24&lt;=Tariffs!$E$10),(Tariffs!$F$9*Tariffs!$H$9)+(($C24-Tariffs!$E$9)*Tariffs!$H$10),IF(AND($C24&gt;Tariffs!$E$10,$C24&lt;=Tariffs!$E$11),(Tariffs!$F$9*Tariffs!$H$9)+(Tariffs!$F$10*Tariffs!$H$10)+(($C24-Tariffs!$E$10)*Tariffs!$H$11),$C24*Tariffs!$H$9)))</f>
        <v>250.10000000000002</v>
      </c>
      <c r="O24" s="87">
        <f t="shared" si="8"/>
        <v>267.10000000000002</v>
      </c>
      <c r="P24" s="88">
        <f>$C24*Tariffs!$J$8</f>
        <v>541.30921498674741</v>
      </c>
      <c r="Q24" s="67"/>
      <c r="R24" s="88">
        <f>$C24*Tariffs!K$8</f>
        <v>0.21239999999999998</v>
      </c>
      <c r="S24" s="67"/>
      <c r="T24" s="88">
        <f t="shared" si="0"/>
        <v>808.62161498674743</v>
      </c>
      <c r="U24" s="67"/>
      <c r="V24" s="88">
        <f>T24*(1+Tariffs!$I$8)</f>
        <v>950.13039760942831</v>
      </c>
      <c r="W24" s="82"/>
      <c r="X24" s="90">
        <f t="shared" si="1"/>
        <v>1200</v>
      </c>
      <c r="Y24" s="88">
        <f t="shared" si="9"/>
        <v>0.24957000000006246</v>
      </c>
      <c r="Z24" s="87">
        <f t="shared" si="2"/>
        <v>0.24957000000006246</v>
      </c>
      <c r="AA24" s="288">
        <f t="shared" si="3"/>
        <v>2.6273822225486576E-4</v>
      </c>
      <c r="AB24" s="289">
        <f t="shared" si="4"/>
        <v>2.6273822225486576E-4</v>
      </c>
      <c r="AC24" s="66"/>
      <c r="AD24" s="66"/>
      <c r="AE24" s="66"/>
      <c r="AF24" s="66"/>
    </row>
    <row r="25" spans="2:32" x14ac:dyDescent="0.3">
      <c r="B25" s="66"/>
      <c r="C25" s="77">
        <v>1300</v>
      </c>
      <c r="D25" s="78">
        <v>0.99089874939237876</v>
      </c>
      <c r="E25" s="79">
        <f>IF($C25&lt;=Tariffs!$E$9,Tariffs!$G$9,IF(AND($C25&gt;Tariffs!$E$9,$C25&lt;=Tariffs!$E$10),Tariffs!$G$10,Tariffs!$G$11))</f>
        <v>17</v>
      </c>
      <c r="F25" s="79">
        <f>IF($C25&gt;Tariffs!$E$11,(Tariffs!$F$9*Tariffs!$H$9)+(Tariffs!$F$10*Tariffs!$H$10)+(Tariffs!$F$11*Tariffs!$H$11)+(($C25-Tariffs!$E$11)*Tariffs!$H$12),IF(AND($C25&gt;Tariffs!$E$9,$C25&lt;=Tariffs!$E$10),(Tariffs!$F$9*Tariffs!$H$9)+(($C25-Tariffs!$E$9)*Tariffs!$H$10),IF(AND($C25&gt;Tariffs!$E$10,$C25&lt;=Tariffs!$E$11),(Tariffs!$F$9*Tariffs!$H$9)+(Tariffs!$F$10*Tariffs!$H$10)+(($C25-Tariffs!$E$10)*Tariffs!$H$11),$C25*Tariffs!$H$9)))</f>
        <v>272.60000000000002</v>
      </c>
      <c r="G25" s="80">
        <f t="shared" si="5"/>
        <v>289.60000000000002</v>
      </c>
      <c r="H25" s="67">
        <f>$C25*Tariffs!$J$8</f>
        <v>586.41831623564303</v>
      </c>
      <c r="I25" s="67">
        <f t="shared" si="6"/>
        <v>876.01831623564306</v>
      </c>
      <c r="J25" s="67">
        <f>I25*Tariffs!$I$8</f>
        <v>153.30320534123751</v>
      </c>
      <c r="K25" s="81">
        <f t="shared" si="7"/>
        <v>1029.3215215768805</v>
      </c>
      <c r="L25" s="81"/>
      <c r="M25" s="79">
        <f>IF($C25&lt;=Tariffs!$E$9,Tariffs!$G$9,IF(AND($C25&gt;Tariffs!$E$9,$C25&lt;=Tariffs!$E$10),Tariffs!$G$10,Tariffs!$G$11))</f>
        <v>17</v>
      </c>
      <c r="N25" s="79">
        <f>IF($C25&gt;Tariffs!$E$11,(Tariffs!$F$9*Tariffs!$H$9)+(Tariffs!$F$10*Tariffs!$H$10)+(Tariffs!$F$11*Tariffs!$H$11)+(($C25-Tariffs!$E$11)*Tariffs!$H$12),IF(AND($C25&gt;Tariffs!$E$9,$C25&lt;=Tariffs!$E$10),(Tariffs!$F$9*Tariffs!$H$9)+(($C25-Tariffs!$E$9)*Tariffs!$H$10),IF(AND($C25&gt;Tariffs!$E$10,$C25&lt;=Tariffs!$E$11),(Tariffs!$F$9*Tariffs!$H$9)+(Tariffs!$F$10*Tariffs!$H$10)+(($C25-Tariffs!$E$10)*Tariffs!$H$11),$C25*Tariffs!$H$9)))</f>
        <v>272.60000000000002</v>
      </c>
      <c r="O25" s="80">
        <f t="shared" si="8"/>
        <v>289.60000000000002</v>
      </c>
      <c r="P25" s="67">
        <f>$C25*Tariffs!$J$8</f>
        <v>586.41831623564303</v>
      </c>
      <c r="Q25" s="67"/>
      <c r="R25" s="67">
        <f>$C25*Tariffs!K$8</f>
        <v>0.2301</v>
      </c>
      <c r="S25" s="67"/>
      <c r="T25" s="67">
        <f t="shared" si="0"/>
        <v>876.24841623564305</v>
      </c>
      <c r="U25" s="67"/>
      <c r="V25" s="67">
        <f>T25*(1+Tariffs!$I$8)</f>
        <v>1029.5918890768805</v>
      </c>
      <c r="W25" s="82"/>
      <c r="X25" s="83">
        <f t="shared" si="1"/>
        <v>1300</v>
      </c>
      <c r="Y25" s="67">
        <f t="shared" si="9"/>
        <v>0.2703675000000203</v>
      </c>
      <c r="Z25" s="80">
        <f t="shared" si="2"/>
        <v>0.2703675000000203</v>
      </c>
      <c r="AA25" s="286">
        <f t="shared" si="3"/>
        <v>2.6266574081335037E-4</v>
      </c>
      <c r="AB25" s="287">
        <f t="shared" si="4"/>
        <v>2.6266574081335037E-4</v>
      </c>
      <c r="AC25" s="66"/>
      <c r="AD25" s="66"/>
      <c r="AE25" s="66"/>
      <c r="AF25" s="66"/>
    </row>
    <row r="26" spans="2:32" x14ac:dyDescent="0.3">
      <c r="B26" s="66"/>
      <c r="C26" s="84">
        <v>1400</v>
      </c>
      <c r="D26" s="85">
        <v>0.99241359610721602</v>
      </c>
      <c r="E26" s="86">
        <f>IF($C26&lt;=Tariffs!$E$9,Tariffs!$G$9,IF(AND($C26&gt;Tariffs!$E$9,$C26&lt;=Tariffs!$E$10),Tariffs!$G$10,Tariffs!$G$11))</f>
        <v>17</v>
      </c>
      <c r="F26" s="86">
        <f>IF($C26&gt;Tariffs!$E$11,(Tariffs!$F$9*Tariffs!$H$9)+(Tariffs!$F$10*Tariffs!$H$10)+(Tariffs!$F$11*Tariffs!$H$11)+(($C26-Tariffs!$E$11)*Tariffs!$H$12),IF(AND($C26&gt;Tariffs!$E$9,$C26&lt;=Tariffs!$E$10),(Tariffs!$F$9*Tariffs!$H$9)+(($C26-Tariffs!$E$9)*Tariffs!$H$10),IF(AND($C26&gt;Tariffs!$E$10,$C26&lt;=Tariffs!$E$11),(Tariffs!$F$9*Tariffs!$H$9)+(Tariffs!$F$10*Tariffs!$H$10)+(($C26-Tariffs!$E$10)*Tariffs!$H$11),$C26*Tariffs!$H$9)))</f>
        <v>295.10000000000002</v>
      </c>
      <c r="G26" s="87">
        <f t="shared" si="5"/>
        <v>312.10000000000002</v>
      </c>
      <c r="H26" s="88">
        <f>$C26*Tariffs!$J$8</f>
        <v>631.52741748453866</v>
      </c>
      <c r="I26" s="88">
        <f t="shared" si="6"/>
        <v>943.62741748453868</v>
      </c>
      <c r="J26" s="88">
        <f>I26*Tariffs!$I$8</f>
        <v>165.13479805979426</v>
      </c>
      <c r="K26" s="89">
        <f t="shared" si="7"/>
        <v>1108.762215544333</v>
      </c>
      <c r="L26" s="81"/>
      <c r="M26" s="86">
        <f>IF($C26&lt;=Tariffs!$E$9,Tariffs!$G$9,IF(AND($C26&gt;Tariffs!$E$9,$C26&lt;=Tariffs!$E$10),Tariffs!$G$10,Tariffs!$G$11))</f>
        <v>17</v>
      </c>
      <c r="N26" s="86">
        <f>IF($C26&gt;Tariffs!$E$11,(Tariffs!$F$9*Tariffs!$H$9)+(Tariffs!$F$10*Tariffs!$H$10)+(Tariffs!$F$11*Tariffs!$H$11)+(($C26-Tariffs!$E$11)*Tariffs!$H$12),IF(AND($C26&gt;Tariffs!$E$9,$C26&lt;=Tariffs!$E$10),(Tariffs!$F$9*Tariffs!$H$9)+(($C26-Tariffs!$E$9)*Tariffs!$H$10),IF(AND($C26&gt;Tariffs!$E$10,$C26&lt;=Tariffs!$E$11),(Tariffs!$F$9*Tariffs!$H$9)+(Tariffs!$F$10*Tariffs!$H$10)+(($C26-Tariffs!$E$10)*Tariffs!$H$11),$C26*Tariffs!$H$9)))</f>
        <v>295.10000000000002</v>
      </c>
      <c r="O26" s="87">
        <f t="shared" si="8"/>
        <v>312.10000000000002</v>
      </c>
      <c r="P26" s="88">
        <f>$C26*Tariffs!$J$8</f>
        <v>631.52741748453866</v>
      </c>
      <c r="Q26" s="67"/>
      <c r="R26" s="88">
        <f>$C26*Tariffs!K$8</f>
        <v>0.24779999999999999</v>
      </c>
      <c r="S26" s="67"/>
      <c r="T26" s="88">
        <f t="shared" si="0"/>
        <v>943.87521748453867</v>
      </c>
      <c r="U26" s="67"/>
      <c r="V26" s="88">
        <f>T26*(1+Tariffs!$I$8)</f>
        <v>1109.0533805443329</v>
      </c>
      <c r="W26" s="82"/>
      <c r="X26" s="90">
        <f t="shared" si="1"/>
        <v>1400</v>
      </c>
      <c r="Y26" s="88">
        <f t="shared" si="9"/>
        <v>0.29116499999986445</v>
      </c>
      <c r="Z26" s="87">
        <f t="shared" si="2"/>
        <v>0.29116499999986445</v>
      </c>
      <c r="AA26" s="288">
        <f t="shared" si="3"/>
        <v>2.6260364568519989E-4</v>
      </c>
      <c r="AB26" s="289">
        <f t="shared" si="4"/>
        <v>2.6260364568519989E-4</v>
      </c>
      <c r="AC26" s="66"/>
      <c r="AD26" s="66"/>
      <c r="AE26" s="66"/>
      <c r="AF26" s="66"/>
    </row>
    <row r="27" spans="2:32" x14ac:dyDescent="0.3">
      <c r="B27" s="66"/>
      <c r="C27" s="77">
        <v>1500</v>
      </c>
      <c r="D27" s="78">
        <v>0.99364494598884179</v>
      </c>
      <c r="E27" s="79">
        <f>IF($C27&lt;=Tariffs!$E$9,Tariffs!$G$9,IF(AND($C27&gt;Tariffs!$E$9,$C27&lt;=Tariffs!$E$10),Tariffs!$G$10,Tariffs!$G$11))</f>
        <v>17</v>
      </c>
      <c r="F27" s="79">
        <f>IF($C27&gt;Tariffs!$E$11,(Tariffs!$F$9*Tariffs!$H$9)+(Tariffs!$F$10*Tariffs!$H$10)+(Tariffs!$F$11*Tariffs!$H$11)+(($C27-Tariffs!$E$11)*Tariffs!$H$12),IF(AND($C27&gt;Tariffs!$E$9,$C27&lt;=Tariffs!$E$10),(Tariffs!$F$9*Tariffs!$H$9)+(($C27-Tariffs!$E$9)*Tariffs!$H$10),IF(AND($C27&gt;Tariffs!$E$10,$C27&lt;=Tariffs!$E$11),(Tariffs!$F$9*Tariffs!$H$9)+(Tariffs!$F$10*Tariffs!$H$10)+(($C27-Tariffs!$E$10)*Tariffs!$H$11),$C27*Tariffs!$H$9)))</f>
        <v>317.60000000000002</v>
      </c>
      <c r="G27" s="80">
        <f t="shared" si="5"/>
        <v>334.6</v>
      </c>
      <c r="H27" s="67">
        <f>$C27*Tariffs!$J$8</f>
        <v>676.63651873343429</v>
      </c>
      <c r="I27" s="67">
        <f t="shared" si="6"/>
        <v>1011.2365187334343</v>
      </c>
      <c r="J27" s="67">
        <f>I27*Tariffs!$I$8</f>
        <v>176.96639077835098</v>
      </c>
      <c r="K27" s="81">
        <f t="shared" si="7"/>
        <v>1188.2029095117853</v>
      </c>
      <c r="L27" s="81"/>
      <c r="M27" s="79">
        <f>IF($C27&lt;=Tariffs!$E$9,Tariffs!$G$9,IF(AND($C27&gt;Tariffs!$E$9,$C27&lt;=Tariffs!$E$10),Tariffs!$G$10,Tariffs!$G$11))</f>
        <v>17</v>
      </c>
      <c r="N27" s="79">
        <f>IF($C27&gt;Tariffs!$E$11,(Tariffs!$F$9*Tariffs!$H$9)+(Tariffs!$F$10*Tariffs!$H$10)+(Tariffs!$F$11*Tariffs!$H$11)+(($C27-Tariffs!$E$11)*Tariffs!$H$12),IF(AND($C27&gt;Tariffs!$E$9,$C27&lt;=Tariffs!$E$10),(Tariffs!$F$9*Tariffs!$H$9)+(($C27-Tariffs!$E$9)*Tariffs!$H$10),IF(AND($C27&gt;Tariffs!$E$10,$C27&lt;=Tariffs!$E$11),(Tariffs!$F$9*Tariffs!$H$9)+(Tariffs!$F$10*Tariffs!$H$10)+(($C27-Tariffs!$E$10)*Tariffs!$H$11),$C27*Tariffs!$H$9)))</f>
        <v>317.60000000000002</v>
      </c>
      <c r="O27" s="80">
        <f t="shared" si="8"/>
        <v>334.6</v>
      </c>
      <c r="P27" s="67">
        <f>$C27*Tariffs!$J$8</f>
        <v>676.63651873343429</v>
      </c>
      <c r="Q27" s="67"/>
      <c r="R27" s="67">
        <f>$C27*Tariffs!K$8</f>
        <v>0.26550000000000001</v>
      </c>
      <c r="S27" s="67"/>
      <c r="T27" s="67">
        <f t="shared" si="0"/>
        <v>1011.5020187334343</v>
      </c>
      <c r="U27" s="67"/>
      <c r="V27" s="67">
        <f>T27*(1+Tariffs!$I$8)</f>
        <v>1188.5148720117854</v>
      </c>
      <c r="W27" s="82"/>
      <c r="X27" s="83">
        <f t="shared" si="1"/>
        <v>1500</v>
      </c>
      <c r="Y27" s="67">
        <f t="shared" si="9"/>
        <v>0.31196250000016335</v>
      </c>
      <c r="Z27" s="80">
        <f t="shared" si="2"/>
        <v>0.31196250000016335</v>
      </c>
      <c r="AA27" s="286">
        <f t="shared" si="3"/>
        <v>2.6254985365103956E-4</v>
      </c>
      <c r="AB27" s="287">
        <f t="shared" si="4"/>
        <v>2.6254985365103956E-4</v>
      </c>
      <c r="AC27" s="66"/>
      <c r="AD27" s="66"/>
      <c r="AE27" s="66"/>
      <c r="AF27" s="66"/>
    </row>
    <row r="28" spans="2:32" x14ac:dyDescent="0.3">
      <c r="B28" s="66"/>
      <c r="C28" s="84">
        <v>1600</v>
      </c>
      <c r="D28" s="85">
        <v>0.9946185714766389</v>
      </c>
      <c r="E28" s="86">
        <f>IF($C28&lt;=Tariffs!$E$9,Tariffs!$G$9,IF(AND($C28&gt;Tariffs!$E$9,$C28&lt;=Tariffs!$E$10),Tariffs!$G$10,Tariffs!$G$11))</f>
        <v>17</v>
      </c>
      <c r="F28" s="86">
        <f>IF($C28&gt;Tariffs!$E$11,(Tariffs!$F$9*Tariffs!$H$9)+(Tariffs!$F$10*Tariffs!$H$10)+(Tariffs!$F$11*Tariffs!$H$11)+(($C28-Tariffs!$E$11)*Tariffs!$H$12),IF(AND($C28&gt;Tariffs!$E$9,$C28&lt;=Tariffs!$E$10),(Tariffs!$F$9*Tariffs!$H$9)+(($C28-Tariffs!$E$9)*Tariffs!$H$10),IF(AND($C28&gt;Tariffs!$E$10,$C28&lt;=Tariffs!$E$11),(Tariffs!$F$9*Tariffs!$H$9)+(Tariffs!$F$10*Tariffs!$H$10)+(($C28-Tariffs!$E$10)*Tariffs!$H$11),$C28*Tariffs!$H$9)))</f>
        <v>343</v>
      </c>
      <c r="G28" s="87">
        <f t="shared" si="5"/>
        <v>360</v>
      </c>
      <c r="H28" s="88">
        <f>$C28*Tariffs!$J$8</f>
        <v>721.74561998232991</v>
      </c>
      <c r="I28" s="88">
        <f t="shared" si="6"/>
        <v>1081.74561998233</v>
      </c>
      <c r="J28" s="88">
        <f>I28*Tariffs!$I$8</f>
        <v>189.30548349690775</v>
      </c>
      <c r="K28" s="89">
        <f t="shared" si="7"/>
        <v>1271.0511034792378</v>
      </c>
      <c r="L28" s="81"/>
      <c r="M28" s="86">
        <f>IF($C28&lt;=Tariffs!$E$9,Tariffs!$G$9,IF(AND($C28&gt;Tariffs!$E$9,$C28&lt;=Tariffs!$E$10),Tariffs!$G$10,Tariffs!$G$11))</f>
        <v>17</v>
      </c>
      <c r="N28" s="86">
        <f>IF($C28&gt;Tariffs!$E$11,(Tariffs!$F$9*Tariffs!$H$9)+(Tariffs!$F$10*Tariffs!$H$10)+(Tariffs!$F$11*Tariffs!$H$11)+(($C28-Tariffs!$E$11)*Tariffs!$H$12),IF(AND($C28&gt;Tariffs!$E$9,$C28&lt;=Tariffs!$E$10),(Tariffs!$F$9*Tariffs!$H$9)+(($C28-Tariffs!$E$9)*Tariffs!$H$10),IF(AND($C28&gt;Tariffs!$E$10,$C28&lt;=Tariffs!$E$11),(Tariffs!$F$9*Tariffs!$H$9)+(Tariffs!$F$10*Tariffs!$H$10)+(($C28-Tariffs!$E$10)*Tariffs!$H$11),$C28*Tariffs!$H$9)))</f>
        <v>343</v>
      </c>
      <c r="O28" s="87">
        <f t="shared" si="8"/>
        <v>360</v>
      </c>
      <c r="P28" s="88">
        <f>$C28*Tariffs!$J$8</f>
        <v>721.74561998232991</v>
      </c>
      <c r="Q28" s="67"/>
      <c r="R28" s="88">
        <f>$C28*Tariffs!K$8</f>
        <v>0.28320000000000001</v>
      </c>
      <c r="S28" s="67"/>
      <c r="T28" s="88">
        <f t="shared" si="0"/>
        <v>1082.0288199823301</v>
      </c>
      <c r="U28" s="67"/>
      <c r="V28" s="88">
        <f>T28*(1+Tariffs!$I$8)</f>
        <v>1271.383863479238</v>
      </c>
      <c r="W28" s="82"/>
      <c r="X28" s="114">
        <f t="shared" si="1"/>
        <v>1600</v>
      </c>
      <c r="Y28" s="136">
        <f t="shared" si="9"/>
        <v>0.33276000000023487</v>
      </c>
      <c r="Z28" s="177">
        <f t="shared" si="2"/>
        <v>0.33276000000023487</v>
      </c>
      <c r="AA28" s="292">
        <f t="shared" si="3"/>
        <v>2.6179907250734047E-4</v>
      </c>
      <c r="AB28" s="293">
        <f t="shared" si="4"/>
        <v>2.6179907250734047E-4</v>
      </c>
      <c r="AC28" s="66"/>
      <c r="AD28" s="66"/>
      <c r="AE28" s="66"/>
      <c r="AF28" s="66"/>
    </row>
    <row r="29" spans="2:32" x14ac:dyDescent="0.3">
      <c r="B29" s="66"/>
      <c r="C29" s="97"/>
      <c r="D29" s="97"/>
      <c r="E29" s="98"/>
      <c r="F29" s="98"/>
      <c r="G29" s="67"/>
      <c r="H29" s="67"/>
      <c r="I29" s="67"/>
      <c r="J29" s="67"/>
      <c r="K29" s="67"/>
      <c r="L29" s="3"/>
      <c r="M29" s="67"/>
      <c r="N29" s="67"/>
      <c r="O29" s="67"/>
      <c r="P29" s="67"/>
      <c r="Q29" s="67"/>
      <c r="R29" s="67"/>
      <c r="S29" s="67"/>
      <c r="T29" s="67"/>
      <c r="U29" s="67"/>
      <c r="V29" s="67"/>
      <c r="W29" s="66"/>
      <c r="X29" s="66"/>
      <c r="Y29" s="66"/>
      <c r="Z29" s="66"/>
      <c r="AA29" s="66"/>
      <c r="AB29" s="66"/>
      <c r="AC29" s="66"/>
      <c r="AD29" s="66"/>
      <c r="AE29" s="66"/>
      <c r="AF29" s="66"/>
    </row>
    <row r="30" spans="2:32" x14ac:dyDescent="0.3">
      <c r="L30" s="68"/>
    </row>
    <row r="31" spans="2:32" x14ac:dyDescent="0.3">
      <c r="L31" s="68"/>
    </row>
    <row r="32" spans="2:32" x14ac:dyDescent="0.3">
      <c r="L32" s="68"/>
    </row>
    <row r="33" spans="12:12" x14ac:dyDescent="0.3">
      <c r="L33" s="68"/>
    </row>
    <row r="34" spans="12:12" x14ac:dyDescent="0.3">
      <c r="L34" s="68"/>
    </row>
    <row r="35" spans="12:12" x14ac:dyDescent="0.3">
      <c r="L35" s="68"/>
    </row>
    <row r="36" spans="12:12" x14ac:dyDescent="0.3">
      <c r="L36" s="68"/>
    </row>
    <row r="37" spans="12:12" x14ac:dyDescent="0.3">
      <c r="L37" s="68"/>
    </row>
    <row r="38" spans="12:12" x14ac:dyDescent="0.3">
      <c r="L38" s="68"/>
    </row>
    <row r="39" spans="12:12" x14ac:dyDescent="0.3">
      <c r="L39" s="68"/>
    </row>
    <row r="40" spans="12:12" x14ac:dyDescent="0.3">
      <c r="L40" s="68"/>
    </row>
    <row r="41" spans="12:12" x14ac:dyDescent="0.3">
      <c r="L41" s="68"/>
    </row>
    <row r="42" spans="12:12" x14ac:dyDescent="0.3">
      <c r="L42" s="68"/>
    </row>
    <row r="43" spans="12:12" x14ac:dyDescent="0.3">
      <c r="L43" s="68"/>
    </row>
    <row r="44" spans="12:12" x14ac:dyDescent="0.3">
      <c r="L44" s="68"/>
    </row>
    <row r="45" spans="12:12" x14ac:dyDescent="0.3">
      <c r="L45" s="68"/>
    </row>
    <row r="46" spans="12:12" x14ac:dyDescent="0.3">
      <c r="L46" s="68"/>
    </row>
    <row r="47" spans="12:12" x14ac:dyDescent="0.3">
      <c r="L47" s="68"/>
    </row>
    <row r="48" spans="12:12" x14ac:dyDescent="0.3">
      <c r="L48" s="68"/>
    </row>
    <row r="49" spans="12:12" x14ac:dyDescent="0.3">
      <c r="L49" s="68"/>
    </row>
    <row r="50" spans="12:12" x14ac:dyDescent="0.3">
      <c r="L50" s="68"/>
    </row>
    <row r="51" spans="12:12" x14ac:dyDescent="0.3">
      <c r="L51" s="68"/>
    </row>
    <row r="52" spans="12:12" x14ac:dyDescent="0.3">
      <c r="L52" s="68"/>
    </row>
    <row r="53" spans="12:12" x14ac:dyDescent="0.3">
      <c r="L53" s="68"/>
    </row>
    <row r="54" spans="12:12" x14ac:dyDescent="0.3">
      <c r="L54" s="68"/>
    </row>
    <row r="55" spans="12:12" x14ac:dyDescent="0.3">
      <c r="L55" s="68"/>
    </row>
    <row r="56" spans="12:12" x14ac:dyDescent="0.3">
      <c r="L56" s="68"/>
    </row>
    <row r="57" spans="12:12" x14ac:dyDescent="0.3">
      <c r="L57" s="68"/>
    </row>
    <row r="58" spans="12:12" x14ac:dyDescent="0.3">
      <c r="L58" s="68"/>
    </row>
    <row r="59" spans="12:12" x14ac:dyDescent="0.3">
      <c r="L59" s="68"/>
    </row>
    <row r="60" spans="12:12" x14ac:dyDescent="0.3">
      <c r="L60" s="68"/>
    </row>
    <row r="61" spans="12:12" x14ac:dyDescent="0.3">
      <c r="L61" s="68"/>
    </row>
    <row r="62" spans="12:12" x14ac:dyDescent="0.3">
      <c r="L62" s="68"/>
    </row>
    <row r="63" spans="12:12" x14ac:dyDescent="0.3">
      <c r="L63" s="68"/>
    </row>
    <row r="64" spans="12:12" x14ac:dyDescent="0.3">
      <c r="L64" s="68"/>
    </row>
    <row r="65" spans="12:12" x14ac:dyDescent="0.3">
      <c r="L65" s="68"/>
    </row>
    <row r="66" spans="12:12" x14ac:dyDescent="0.3">
      <c r="L66" s="68"/>
    </row>
    <row r="67" spans="12:12" x14ac:dyDescent="0.3">
      <c r="L67" s="68"/>
    </row>
    <row r="68" spans="12:12" x14ac:dyDescent="0.3">
      <c r="L68" s="68"/>
    </row>
    <row r="69" spans="12:12" x14ac:dyDescent="0.3">
      <c r="L69" s="68"/>
    </row>
    <row r="70" spans="12:12" x14ac:dyDescent="0.3">
      <c r="L70" s="68"/>
    </row>
    <row r="71" spans="12:12" x14ac:dyDescent="0.3">
      <c r="L71" s="68"/>
    </row>
    <row r="72" spans="12:12" x14ac:dyDescent="0.3">
      <c r="L72" s="68"/>
    </row>
    <row r="73" spans="12:12" x14ac:dyDescent="0.3">
      <c r="L73" s="68"/>
    </row>
    <row r="74" spans="12:12" x14ac:dyDescent="0.3">
      <c r="L74" s="68"/>
    </row>
    <row r="75" spans="12:12" x14ac:dyDescent="0.3">
      <c r="L75" s="68"/>
    </row>
    <row r="76" spans="12:12" x14ac:dyDescent="0.3">
      <c r="L76" s="68"/>
    </row>
    <row r="77" spans="12:12" x14ac:dyDescent="0.3">
      <c r="L77" s="68"/>
    </row>
    <row r="78" spans="12:12" x14ac:dyDescent="0.3">
      <c r="L78" s="68"/>
    </row>
    <row r="79" spans="12:12" x14ac:dyDescent="0.3">
      <c r="L79" s="68"/>
    </row>
    <row r="80" spans="12:12" x14ac:dyDescent="0.3">
      <c r="L80" s="68"/>
    </row>
    <row r="81" spans="12:12" x14ac:dyDescent="0.3">
      <c r="L81" s="68"/>
    </row>
    <row r="82" spans="12:12" x14ac:dyDescent="0.3">
      <c r="L82" s="68"/>
    </row>
    <row r="83" spans="12:12" x14ac:dyDescent="0.3">
      <c r="L83" s="68"/>
    </row>
    <row r="84" spans="12:12" x14ac:dyDescent="0.3">
      <c r="L84" s="68"/>
    </row>
    <row r="85" spans="12:12" x14ac:dyDescent="0.3">
      <c r="L85" s="68"/>
    </row>
    <row r="86" spans="12:12" x14ac:dyDescent="0.3">
      <c r="L86" s="68"/>
    </row>
    <row r="87" spans="12:12" x14ac:dyDescent="0.3">
      <c r="L87" s="68"/>
    </row>
    <row r="88" spans="12:12" x14ac:dyDescent="0.3">
      <c r="L88" s="68"/>
    </row>
    <row r="89" spans="12:12" x14ac:dyDescent="0.3">
      <c r="L89" s="68"/>
    </row>
    <row r="90" spans="12:12" x14ac:dyDescent="0.3">
      <c r="L90" s="68"/>
    </row>
    <row r="91" spans="12:12" x14ac:dyDescent="0.3">
      <c r="L91" s="68"/>
    </row>
    <row r="92" spans="12:12" x14ac:dyDescent="0.3">
      <c r="L92" s="68"/>
    </row>
    <row r="93" spans="12:12" x14ac:dyDescent="0.3">
      <c r="L93" s="68"/>
    </row>
    <row r="94" spans="12:12" x14ac:dyDescent="0.3">
      <c r="L94" s="68"/>
    </row>
    <row r="95" spans="12:12" x14ac:dyDescent="0.3">
      <c r="L95" s="68"/>
    </row>
    <row r="96" spans="12:12" x14ac:dyDescent="0.3">
      <c r="L96" s="68"/>
    </row>
    <row r="97" spans="12:12" x14ac:dyDescent="0.3">
      <c r="L97" s="68"/>
    </row>
    <row r="98" spans="12:12" x14ac:dyDescent="0.3">
      <c r="L98" s="68"/>
    </row>
    <row r="99" spans="12:12" x14ac:dyDescent="0.3">
      <c r="L99" s="68"/>
    </row>
    <row r="100" spans="12:12" x14ac:dyDescent="0.3">
      <c r="L100" s="68"/>
    </row>
    <row r="101" spans="12:12" x14ac:dyDescent="0.3">
      <c r="L101" s="68"/>
    </row>
    <row r="102" spans="12:12" x14ac:dyDescent="0.3">
      <c r="L102" s="68"/>
    </row>
    <row r="103" spans="12:12" x14ac:dyDescent="0.3">
      <c r="L103" s="68"/>
    </row>
    <row r="104" spans="12:12" x14ac:dyDescent="0.3">
      <c r="L104" s="68"/>
    </row>
    <row r="105" spans="12:12" x14ac:dyDescent="0.3">
      <c r="L105" s="68"/>
    </row>
    <row r="106" spans="12:12" x14ac:dyDescent="0.3">
      <c r="L106" s="68"/>
    </row>
    <row r="107" spans="12:12" x14ac:dyDescent="0.3">
      <c r="L107" s="68"/>
    </row>
    <row r="108" spans="12:12" x14ac:dyDescent="0.3">
      <c r="L108" s="68"/>
    </row>
    <row r="109" spans="12:12" x14ac:dyDescent="0.3">
      <c r="L109" s="68"/>
    </row>
    <row r="110" spans="12:12" x14ac:dyDescent="0.3">
      <c r="L110" s="68"/>
    </row>
    <row r="111" spans="12:12" x14ac:dyDescent="0.3">
      <c r="L111" s="68"/>
    </row>
    <row r="112" spans="12:12" x14ac:dyDescent="0.3">
      <c r="L112" s="68"/>
    </row>
    <row r="113" spans="12:12" x14ac:dyDescent="0.3">
      <c r="L113" s="68"/>
    </row>
    <row r="114" spans="12:12" x14ac:dyDescent="0.3">
      <c r="L114" s="68"/>
    </row>
    <row r="115" spans="12:12" x14ac:dyDescent="0.3">
      <c r="L115" s="68"/>
    </row>
    <row r="116" spans="12:12" x14ac:dyDescent="0.3">
      <c r="L116" s="68"/>
    </row>
    <row r="117" spans="12:12" x14ac:dyDescent="0.3">
      <c r="L117" s="68"/>
    </row>
    <row r="118" spans="12:12" x14ac:dyDescent="0.3">
      <c r="L118" s="68"/>
    </row>
    <row r="119" spans="12:12" x14ac:dyDescent="0.3">
      <c r="L119" s="68"/>
    </row>
    <row r="120" spans="12:12" x14ac:dyDescent="0.3">
      <c r="L120" s="68"/>
    </row>
    <row r="121" spans="12:12" x14ac:dyDescent="0.3">
      <c r="L121" s="68"/>
    </row>
    <row r="122" spans="12:12" x14ac:dyDescent="0.3">
      <c r="L122" s="68"/>
    </row>
    <row r="123" spans="12:12" x14ac:dyDescent="0.3">
      <c r="L123" s="68"/>
    </row>
    <row r="124" spans="12:12" x14ac:dyDescent="0.3">
      <c r="L124" s="68"/>
    </row>
    <row r="125" spans="12:12" x14ac:dyDescent="0.3">
      <c r="L125" s="68"/>
    </row>
    <row r="126" spans="12:12" x14ac:dyDescent="0.3">
      <c r="L126" s="68"/>
    </row>
    <row r="127" spans="12:12" x14ac:dyDescent="0.3">
      <c r="L127" s="68"/>
    </row>
    <row r="128" spans="12:12" x14ac:dyDescent="0.3">
      <c r="L128" s="68"/>
    </row>
    <row r="129" spans="12:12" x14ac:dyDescent="0.3">
      <c r="L129" s="68"/>
    </row>
    <row r="130" spans="12:12" x14ac:dyDescent="0.3">
      <c r="L130" s="68"/>
    </row>
    <row r="131" spans="12:12" x14ac:dyDescent="0.3">
      <c r="L131" s="68"/>
    </row>
    <row r="132" spans="12:12" x14ac:dyDescent="0.3">
      <c r="L132" s="68"/>
    </row>
    <row r="133" spans="12:12" x14ac:dyDescent="0.3">
      <c r="L133" s="68"/>
    </row>
    <row r="134" spans="12:12" x14ac:dyDescent="0.3">
      <c r="L134" s="68"/>
    </row>
    <row r="135" spans="12:12" x14ac:dyDescent="0.3">
      <c r="L135" s="68"/>
    </row>
    <row r="136" spans="12:12" x14ac:dyDescent="0.3">
      <c r="L136" s="68"/>
    </row>
    <row r="137" spans="12:12" x14ac:dyDescent="0.3">
      <c r="L137" s="68"/>
    </row>
    <row r="138" spans="12:12" x14ac:dyDescent="0.3">
      <c r="L138" s="68"/>
    </row>
    <row r="139" spans="12:12" x14ac:dyDescent="0.3">
      <c r="L139" s="68"/>
    </row>
    <row r="140" spans="12:12" x14ac:dyDescent="0.3">
      <c r="L140" s="68"/>
    </row>
    <row r="141" spans="12:12" x14ac:dyDescent="0.3">
      <c r="L141" s="68"/>
    </row>
    <row r="142" spans="12:12" x14ac:dyDescent="0.3">
      <c r="L142" s="68"/>
    </row>
    <row r="143" spans="12:12" x14ac:dyDescent="0.3">
      <c r="L143" s="68"/>
    </row>
    <row r="144" spans="12:12" x14ac:dyDescent="0.3">
      <c r="L144" s="68"/>
    </row>
    <row r="145" spans="12:12" x14ac:dyDescent="0.3">
      <c r="L145" s="68"/>
    </row>
    <row r="146" spans="12:12" x14ac:dyDescent="0.3">
      <c r="L146" s="68"/>
    </row>
    <row r="147" spans="12:12" x14ac:dyDescent="0.3">
      <c r="L147" s="68"/>
    </row>
    <row r="148" spans="12:12" x14ac:dyDescent="0.3">
      <c r="L148" s="68"/>
    </row>
    <row r="149" spans="12:12" x14ac:dyDescent="0.3">
      <c r="L149" s="68"/>
    </row>
    <row r="150" spans="12:12" x14ac:dyDescent="0.3">
      <c r="L150" s="68"/>
    </row>
    <row r="151" spans="12:12" x14ac:dyDescent="0.3">
      <c r="L151" s="68"/>
    </row>
    <row r="152" spans="12:12" x14ac:dyDescent="0.3">
      <c r="L152" s="68"/>
    </row>
    <row r="153" spans="12:12" x14ac:dyDescent="0.3">
      <c r="L153" s="68"/>
    </row>
    <row r="154" spans="12:12" x14ac:dyDescent="0.3">
      <c r="L154" s="68"/>
    </row>
    <row r="155" spans="12:12" x14ac:dyDescent="0.3">
      <c r="L155" s="68"/>
    </row>
    <row r="156" spans="12:12" x14ac:dyDescent="0.3">
      <c r="L156" s="68"/>
    </row>
    <row r="157" spans="12:12" x14ac:dyDescent="0.3">
      <c r="L157" s="68"/>
    </row>
    <row r="158" spans="12:12" x14ac:dyDescent="0.3">
      <c r="L158" s="68"/>
    </row>
    <row r="159" spans="12:12" x14ac:dyDescent="0.3">
      <c r="L159" s="68"/>
    </row>
    <row r="160" spans="12:12" x14ac:dyDescent="0.3">
      <c r="L160" s="68"/>
    </row>
    <row r="161" spans="12:12" x14ac:dyDescent="0.3">
      <c r="L161" s="68"/>
    </row>
    <row r="162" spans="12:12" x14ac:dyDescent="0.3">
      <c r="L162" s="68"/>
    </row>
    <row r="163" spans="12:12" x14ac:dyDescent="0.3">
      <c r="L163" s="68"/>
    </row>
    <row r="164" spans="12:12" x14ac:dyDescent="0.3">
      <c r="L164" s="68"/>
    </row>
    <row r="165" spans="12:12" x14ac:dyDescent="0.3">
      <c r="L165" s="68"/>
    </row>
    <row r="166" spans="12:12" x14ac:dyDescent="0.3">
      <c r="L166" s="68"/>
    </row>
    <row r="167" spans="12:12" x14ac:dyDescent="0.3">
      <c r="L167" s="68"/>
    </row>
    <row r="168" spans="12:12" x14ac:dyDescent="0.3">
      <c r="L168" s="68"/>
    </row>
    <row r="169" spans="12:12" x14ac:dyDescent="0.3">
      <c r="L169" s="68"/>
    </row>
    <row r="170" spans="12:12" x14ac:dyDescent="0.3">
      <c r="L170" s="68"/>
    </row>
    <row r="171" spans="12:12" x14ac:dyDescent="0.3">
      <c r="L171" s="68"/>
    </row>
    <row r="172" spans="12:12" x14ac:dyDescent="0.3">
      <c r="L172" s="68"/>
    </row>
    <row r="173" spans="12:12" x14ac:dyDescent="0.3">
      <c r="L173" s="68"/>
    </row>
    <row r="174" spans="12:12" x14ac:dyDescent="0.3">
      <c r="L174" s="68"/>
    </row>
    <row r="175" spans="12:12" x14ac:dyDescent="0.3">
      <c r="L175" s="68"/>
    </row>
    <row r="176" spans="12:12" x14ac:dyDescent="0.3">
      <c r="L176" s="68"/>
    </row>
    <row r="177" spans="12:12" x14ac:dyDescent="0.3">
      <c r="L177" s="68"/>
    </row>
    <row r="178" spans="12:12" x14ac:dyDescent="0.3">
      <c r="L178" s="68"/>
    </row>
    <row r="179" spans="12:12" x14ac:dyDescent="0.3">
      <c r="L179" s="68"/>
    </row>
    <row r="180" spans="12:12" x14ac:dyDescent="0.3">
      <c r="L180" s="68"/>
    </row>
    <row r="181" spans="12:12" x14ac:dyDescent="0.3">
      <c r="L181" s="68"/>
    </row>
    <row r="182" spans="12:12" x14ac:dyDescent="0.3">
      <c r="L182" s="68"/>
    </row>
    <row r="183" spans="12:12" x14ac:dyDescent="0.3">
      <c r="L183" s="68"/>
    </row>
    <row r="184" spans="12:12" x14ac:dyDescent="0.3">
      <c r="L184" s="68"/>
    </row>
    <row r="185" spans="12:12" x14ac:dyDescent="0.3">
      <c r="L185" s="68"/>
    </row>
    <row r="186" spans="12:12" x14ac:dyDescent="0.3">
      <c r="L186" s="68"/>
    </row>
    <row r="187" spans="12:12" x14ac:dyDescent="0.3">
      <c r="L187" s="68"/>
    </row>
    <row r="188" spans="12:12" x14ac:dyDescent="0.3">
      <c r="L188" s="68"/>
    </row>
    <row r="189" spans="12:12" x14ac:dyDescent="0.3">
      <c r="L189" s="68"/>
    </row>
    <row r="190" spans="12:12" x14ac:dyDescent="0.3">
      <c r="L190" s="68"/>
    </row>
    <row r="191" spans="12:12" x14ac:dyDescent="0.3">
      <c r="L191" s="68"/>
    </row>
    <row r="192" spans="12:12" x14ac:dyDescent="0.3">
      <c r="L192" s="68"/>
    </row>
    <row r="193" spans="12:12" x14ac:dyDescent="0.3">
      <c r="L193" s="68"/>
    </row>
    <row r="194" spans="12:12" x14ac:dyDescent="0.3">
      <c r="L194" s="68"/>
    </row>
    <row r="195" spans="12:12" x14ac:dyDescent="0.3">
      <c r="L195" s="68"/>
    </row>
    <row r="196" spans="12:12" x14ac:dyDescent="0.3">
      <c r="L196" s="68"/>
    </row>
    <row r="197" spans="12:12" x14ac:dyDescent="0.3">
      <c r="L197" s="68"/>
    </row>
    <row r="198" spans="12:12" x14ac:dyDescent="0.3">
      <c r="L198" s="68"/>
    </row>
    <row r="199" spans="12:12" x14ac:dyDescent="0.3">
      <c r="L199" s="68"/>
    </row>
    <row r="200" spans="12:12" x14ac:dyDescent="0.3">
      <c r="L200" s="68"/>
    </row>
    <row r="201" spans="12:12" x14ac:dyDescent="0.3">
      <c r="L201" s="68"/>
    </row>
    <row r="202" spans="12:12" x14ac:dyDescent="0.3">
      <c r="L202" s="68"/>
    </row>
    <row r="203" spans="12:12" x14ac:dyDescent="0.3">
      <c r="L203" s="68"/>
    </row>
    <row r="204" spans="12:12" x14ac:dyDescent="0.3">
      <c r="L204" s="68"/>
    </row>
    <row r="205" spans="12:12" x14ac:dyDescent="0.3">
      <c r="L205" s="68"/>
    </row>
    <row r="206" spans="12:12" x14ac:dyDescent="0.3">
      <c r="L206" s="68"/>
    </row>
    <row r="207" spans="12:12" x14ac:dyDescent="0.3">
      <c r="L207" s="68"/>
    </row>
    <row r="208" spans="12:12" x14ac:dyDescent="0.3">
      <c r="L208" s="68"/>
    </row>
    <row r="209" spans="12:12" x14ac:dyDescent="0.3">
      <c r="L209" s="68"/>
    </row>
    <row r="210" spans="12:12" x14ac:dyDescent="0.3">
      <c r="L210" s="68"/>
    </row>
    <row r="211" spans="12:12" x14ac:dyDescent="0.3">
      <c r="L211" s="68"/>
    </row>
    <row r="212" spans="12:12" x14ac:dyDescent="0.3">
      <c r="L212" s="68"/>
    </row>
    <row r="213" spans="12:12" x14ac:dyDescent="0.3">
      <c r="L213" s="68"/>
    </row>
    <row r="214" spans="12:12" x14ac:dyDescent="0.3">
      <c r="L214" s="68"/>
    </row>
    <row r="215" spans="12:12" x14ac:dyDescent="0.3">
      <c r="L215" s="68"/>
    </row>
    <row r="216" spans="12:12" x14ac:dyDescent="0.3">
      <c r="L216" s="68"/>
    </row>
    <row r="217" spans="12:12" x14ac:dyDescent="0.3">
      <c r="L217" s="68"/>
    </row>
    <row r="218" spans="12:12" x14ac:dyDescent="0.3">
      <c r="L218" s="68"/>
    </row>
    <row r="219" spans="12:12" x14ac:dyDescent="0.3">
      <c r="L219" s="68"/>
    </row>
    <row r="220" spans="12:12" x14ac:dyDescent="0.3">
      <c r="L220" s="68"/>
    </row>
    <row r="221" spans="12:12" x14ac:dyDescent="0.3">
      <c r="L221" s="68"/>
    </row>
    <row r="222" spans="12:12" x14ac:dyDescent="0.3">
      <c r="L222" s="68"/>
    </row>
    <row r="223" spans="12:12" x14ac:dyDescent="0.3">
      <c r="L223" s="68"/>
    </row>
    <row r="224" spans="12:12" x14ac:dyDescent="0.3">
      <c r="L224" s="68"/>
    </row>
    <row r="225" spans="12:12" x14ac:dyDescent="0.3">
      <c r="L225" s="68"/>
    </row>
    <row r="226" spans="12:12" x14ac:dyDescent="0.3">
      <c r="L226" s="68"/>
    </row>
    <row r="227" spans="12:12" x14ac:dyDescent="0.3">
      <c r="L227" s="68"/>
    </row>
    <row r="228" spans="12:12" x14ac:dyDescent="0.3">
      <c r="L228" s="68"/>
    </row>
    <row r="229" spans="12:12" x14ac:dyDescent="0.3">
      <c r="L229" s="68"/>
    </row>
    <row r="230" spans="12:12" x14ac:dyDescent="0.3">
      <c r="L230" s="68"/>
    </row>
    <row r="231" spans="12:12" x14ac:dyDescent="0.3">
      <c r="L231" s="68"/>
    </row>
    <row r="232" spans="12:12" x14ac:dyDescent="0.3">
      <c r="L232" s="68"/>
    </row>
    <row r="233" spans="12:12" x14ac:dyDescent="0.3">
      <c r="L233" s="68"/>
    </row>
    <row r="234" spans="12:12" x14ac:dyDescent="0.3">
      <c r="L234" s="68"/>
    </row>
    <row r="235" spans="12:12" x14ac:dyDescent="0.3">
      <c r="L235" s="68"/>
    </row>
    <row r="236" spans="12:12" x14ac:dyDescent="0.3">
      <c r="L236" s="68"/>
    </row>
    <row r="237" spans="12:12" x14ac:dyDescent="0.3">
      <c r="L237" s="68"/>
    </row>
    <row r="238" spans="12:12" x14ac:dyDescent="0.3">
      <c r="L238" s="68"/>
    </row>
    <row r="239" spans="12:12" x14ac:dyDescent="0.3">
      <c r="L239" s="68"/>
    </row>
    <row r="240" spans="12:12" x14ac:dyDescent="0.3">
      <c r="L240" s="68"/>
    </row>
    <row r="241" spans="12:12" x14ac:dyDescent="0.3">
      <c r="L241" s="68"/>
    </row>
    <row r="242" spans="12:12" x14ac:dyDescent="0.3">
      <c r="L242" s="68"/>
    </row>
    <row r="243" spans="12:12" x14ac:dyDescent="0.3">
      <c r="L243" s="68"/>
    </row>
    <row r="244" spans="12:12" x14ac:dyDescent="0.3">
      <c r="L244" s="68"/>
    </row>
    <row r="245" spans="12:12" x14ac:dyDescent="0.3">
      <c r="L245" s="68"/>
    </row>
    <row r="246" spans="12:12" x14ac:dyDescent="0.3">
      <c r="L246" s="68"/>
    </row>
    <row r="247" spans="12:12" x14ac:dyDescent="0.3">
      <c r="L247" s="68"/>
    </row>
    <row r="248" spans="12:12" x14ac:dyDescent="0.3">
      <c r="L248" s="68"/>
    </row>
    <row r="249" spans="12:12" x14ac:dyDescent="0.3">
      <c r="L249" s="68"/>
    </row>
    <row r="250" spans="12:12" x14ac:dyDescent="0.3">
      <c r="L250" s="68"/>
    </row>
    <row r="251" spans="12:12" x14ac:dyDescent="0.3">
      <c r="L251" s="68"/>
    </row>
    <row r="252" spans="12:12" x14ac:dyDescent="0.3">
      <c r="L252" s="68"/>
    </row>
    <row r="253" spans="12:12" x14ac:dyDescent="0.3">
      <c r="L253" s="68"/>
    </row>
    <row r="254" spans="12:12" x14ac:dyDescent="0.3">
      <c r="L254" s="68"/>
    </row>
    <row r="255" spans="12:12" x14ac:dyDescent="0.3">
      <c r="L255" s="68"/>
    </row>
    <row r="256" spans="12:12" x14ac:dyDescent="0.3">
      <c r="L256" s="68"/>
    </row>
    <row r="257" spans="12:12" x14ac:dyDescent="0.3">
      <c r="L257" s="68"/>
    </row>
    <row r="258" spans="12:12" x14ac:dyDescent="0.3">
      <c r="L258" s="68"/>
    </row>
    <row r="259" spans="12:12" x14ac:dyDescent="0.3">
      <c r="L259" s="68"/>
    </row>
    <row r="260" spans="12:12" x14ac:dyDescent="0.3">
      <c r="L260" s="68"/>
    </row>
    <row r="261" spans="12:12" x14ac:dyDescent="0.3">
      <c r="L261" s="68"/>
    </row>
    <row r="262" spans="12:12" x14ac:dyDescent="0.3">
      <c r="L262" s="68"/>
    </row>
    <row r="263" spans="12:12" x14ac:dyDescent="0.3">
      <c r="L263" s="68"/>
    </row>
    <row r="264" spans="12:12" x14ac:dyDescent="0.3">
      <c r="L264" s="68"/>
    </row>
    <row r="265" spans="12:12" x14ac:dyDescent="0.3">
      <c r="L265" s="68"/>
    </row>
    <row r="266" spans="12:12" x14ac:dyDescent="0.3">
      <c r="L266" s="68"/>
    </row>
    <row r="267" spans="12:12" x14ac:dyDescent="0.3">
      <c r="L267" s="68"/>
    </row>
    <row r="268" spans="12:12" x14ac:dyDescent="0.3">
      <c r="L268" s="68"/>
    </row>
    <row r="269" spans="12:12" x14ac:dyDescent="0.3">
      <c r="L269" s="68"/>
    </row>
    <row r="270" spans="12:12" x14ac:dyDescent="0.3">
      <c r="L270" s="68"/>
    </row>
    <row r="271" spans="12:12" x14ac:dyDescent="0.3">
      <c r="L271" s="68"/>
    </row>
    <row r="272" spans="12:12" x14ac:dyDescent="0.3">
      <c r="L272" s="68"/>
    </row>
    <row r="273" spans="12:12" x14ac:dyDescent="0.3">
      <c r="L273" s="68"/>
    </row>
    <row r="274" spans="12:12" x14ac:dyDescent="0.3">
      <c r="L274" s="68"/>
    </row>
    <row r="275" spans="12:12" x14ac:dyDescent="0.3">
      <c r="L275" s="68"/>
    </row>
    <row r="276" spans="12:12" x14ac:dyDescent="0.3">
      <c r="L276" s="68"/>
    </row>
    <row r="277" spans="12:12" x14ac:dyDescent="0.3">
      <c r="L277" s="68"/>
    </row>
    <row r="278" spans="12:12" x14ac:dyDescent="0.3">
      <c r="L278" s="68"/>
    </row>
    <row r="279" spans="12:12" x14ac:dyDescent="0.3">
      <c r="L279" s="68"/>
    </row>
    <row r="280" spans="12:12" x14ac:dyDescent="0.3">
      <c r="L280" s="68"/>
    </row>
    <row r="281" spans="12:12" x14ac:dyDescent="0.3">
      <c r="L281" s="68"/>
    </row>
    <row r="282" spans="12:12" x14ac:dyDescent="0.3">
      <c r="L282" s="68"/>
    </row>
    <row r="283" spans="12:12" x14ac:dyDescent="0.3">
      <c r="L283" s="68"/>
    </row>
    <row r="284" spans="12:12" x14ac:dyDescent="0.3">
      <c r="L284" s="68"/>
    </row>
    <row r="285" spans="12:12" x14ac:dyDescent="0.3">
      <c r="L285" s="68"/>
    </row>
    <row r="286" spans="12:12" x14ac:dyDescent="0.3">
      <c r="L286" s="68"/>
    </row>
    <row r="287" spans="12:12" x14ac:dyDescent="0.3">
      <c r="L287" s="68"/>
    </row>
    <row r="288" spans="12:12" x14ac:dyDescent="0.3">
      <c r="L288" s="68"/>
    </row>
    <row r="289" spans="12:12" x14ac:dyDescent="0.3">
      <c r="L289" s="68"/>
    </row>
    <row r="290" spans="12:12" x14ac:dyDescent="0.3">
      <c r="L290" s="68"/>
    </row>
    <row r="291" spans="12:12" x14ac:dyDescent="0.3">
      <c r="L291" s="68"/>
    </row>
    <row r="292" spans="12:12" x14ac:dyDescent="0.3">
      <c r="L292" s="68"/>
    </row>
    <row r="293" spans="12:12" x14ac:dyDescent="0.3">
      <c r="L293" s="68"/>
    </row>
    <row r="294" spans="12:12" x14ac:dyDescent="0.3">
      <c r="L294" s="68"/>
    </row>
    <row r="295" spans="12:12" x14ac:dyDescent="0.3">
      <c r="L295" s="68"/>
    </row>
    <row r="296" spans="12:12" x14ac:dyDescent="0.3">
      <c r="L296" s="68"/>
    </row>
    <row r="297" spans="12:12" x14ac:dyDescent="0.3">
      <c r="L297" s="68"/>
    </row>
    <row r="298" spans="12:12" x14ac:dyDescent="0.3">
      <c r="L298" s="68"/>
    </row>
    <row r="299" spans="12:12" x14ac:dyDescent="0.3">
      <c r="L299" s="68"/>
    </row>
    <row r="300" spans="12:12" x14ac:dyDescent="0.3">
      <c r="L300" s="68"/>
    </row>
    <row r="301" spans="12:12" x14ac:dyDescent="0.3">
      <c r="L301" s="68"/>
    </row>
    <row r="302" spans="12:12" x14ac:dyDescent="0.3">
      <c r="L302" s="68"/>
    </row>
    <row r="303" spans="12:12" x14ac:dyDescent="0.3">
      <c r="L303" s="68"/>
    </row>
    <row r="304" spans="12:12" x14ac:dyDescent="0.3">
      <c r="L304" s="68"/>
    </row>
    <row r="305" spans="12:12" x14ac:dyDescent="0.3">
      <c r="L305" s="68"/>
    </row>
    <row r="306" spans="12:12" x14ac:dyDescent="0.3">
      <c r="L306" s="68"/>
    </row>
    <row r="307" spans="12:12" x14ac:dyDescent="0.3">
      <c r="L307" s="68"/>
    </row>
    <row r="308" spans="12:12" x14ac:dyDescent="0.3">
      <c r="L308" s="68"/>
    </row>
    <row r="309" spans="12:12" x14ac:dyDescent="0.3">
      <c r="L309" s="68"/>
    </row>
    <row r="310" spans="12:12" x14ac:dyDescent="0.3">
      <c r="L310" s="68"/>
    </row>
    <row r="311" spans="12:12" x14ac:dyDescent="0.3">
      <c r="L311" s="68"/>
    </row>
    <row r="312" spans="12:12" x14ac:dyDescent="0.3">
      <c r="L312" s="68"/>
    </row>
    <row r="313" spans="12:12" x14ac:dyDescent="0.3">
      <c r="L313" s="68"/>
    </row>
    <row r="314" spans="12:12" x14ac:dyDescent="0.3">
      <c r="L314" s="68"/>
    </row>
    <row r="315" spans="12:12" x14ac:dyDescent="0.3">
      <c r="L315" s="68"/>
    </row>
    <row r="316" spans="12:12" x14ac:dyDescent="0.3">
      <c r="L316" s="68"/>
    </row>
    <row r="317" spans="12:12" x14ac:dyDescent="0.3">
      <c r="L317" s="68"/>
    </row>
    <row r="318" spans="12:12" x14ac:dyDescent="0.3">
      <c r="L318" s="68"/>
    </row>
    <row r="319" spans="12:12" x14ac:dyDescent="0.3">
      <c r="L319" s="68"/>
    </row>
    <row r="320" spans="12:12" x14ac:dyDescent="0.3">
      <c r="L320" s="68"/>
    </row>
    <row r="321" spans="12:12" x14ac:dyDescent="0.3">
      <c r="L321" s="68"/>
    </row>
    <row r="322" spans="12:12" x14ac:dyDescent="0.3">
      <c r="L322" s="68"/>
    </row>
    <row r="323" spans="12:12" x14ac:dyDescent="0.3">
      <c r="L323" s="68"/>
    </row>
    <row r="324" spans="12:12" x14ac:dyDescent="0.3">
      <c r="L324" s="68"/>
    </row>
    <row r="325" spans="12:12" x14ac:dyDescent="0.3">
      <c r="L325" s="68"/>
    </row>
    <row r="326" spans="12:12" x14ac:dyDescent="0.3">
      <c r="L326" s="68"/>
    </row>
    <row r="327" spans="12:12" x14ac:dyDescent="0.3">
      <c r="L327" s="68"/>
    </row>
    <row r="328" spans="12:12" x14ac:dyDescent="0.3">
      <c r="L328" s="68"/>
    </row>
    <row r="329" spans="12:12" x14ac:dyDescent="0.3">
      <c r="L329" s="68"/>
    </row>
    <row r="330" spans="12:12" x14ac:dyDescent="0.3">
      <c r="L330" s="68"/>
    </row>
    <row r="331" spans="12:12" x14ac:dyDescent="0.3">
      <c r="L331" s="68"/>
    </row>
    <row r="332" spans="12:12" x14ac:dyDescent="0.3">
      <c r="L332" s="68"/>
    </row>
    <row r="333" spans="12:12" x14ac:dyDescent="0.3">
      <c r="L333" s="68"/>
    </row>
    <row r="334" spans="12:12" x14ac:dyDescent="0.3">
      <c r="L334" s="68"/>
    </row>
    <row r="335" spans="12:12" x14ac:dyDescent="0.3">
      <c r="L335" s="68"/>
    </row>
    <row r="336" spans="12:12" x14ac:dyDescent="0.3">
      <c r="L336" s="68"/>
    </row>
    <row r="337" spans="12:12" x14ac:dyDescent="0.3">
      <c r="L337" s="68"/>
    </row>
    <row r="338" spans="12:12" x14ac:dyDescent="0.3">
      <c r="L338" s="68"/>
    </row>
    <row r="339" spans="12:12" x14ac:dyDescent="0.3">
      <c r="L339" s="68"/>
    </row>
    <row r="340" spans="12:12" x14ac:dyDescent="0.3">
      <c r="L340" s="68"/>
    </row>
    <row r="341" spans="12:12" x14ac:dyDescent="0.3">
      <c r="L341" s="68"/>
    </row>
    <row r="342" spans="12:12" x14ac:dyDescent="0.3">
      <c r="L342" s="68"/>
    </row>
    <row r="343" spans="12:12" x14ac:dyDescent="0.3">
      <c r="L343" s="68"/>
    </row>
    <row r="344" spans="12:12" x14ac:dyDescent="0.3">
      <c r="L344" s="68"/>
    </row>
    <row r="345" spans="12:12" x14ac:dyDescent="0.3">
      <c r="L345" s="68"/>
    </row>
    <row r="346" spans="12:12" x14ac:dyDescent="0.3">
      <c r="L346" s="68"/>
    </row>
    <row r="347" spans="12:12" x14ac:dyDescent="0.3">
      <c r="L347" s="68"/>
    </row>
    <row r="348" spans="12:12" x14ac:dyDescent="0.3">
      <c r="L348" s="68"/>
    </row>
    <row r="349" spans="12:12" x14ac:dyDescent="0.3">
      <c r="L349" s="68"/>
    </row>
    <row r="350" spans="12:12" x14ac:dyDescent="0.3">
      <c r="L350" s="68"/>
    </row>
    <row r="351" spans="12:12" x14ac:dyDescent="0.3">
      <c r="L351" s="68"/>
    </row>
    <row r="352" spans="12:12" x14ac:dyDescent="0.3">
      <c r="L352" s="68"/>
    </row>
    <row r="353" spans="12:12" x14ac:dyDescent="0.3">
      <c r="L353" s="68"/>
    </row>
    <row r="354" spans="12:12" x14ac:dyDescent="0.3">
      <c r="L354" s="68"/>
    </row>
    <row r="355" spans="12:12" x14ac:dyDescent="0.3">
      <c r="L355" s="68"/>
    </row>
    <row r="356" spans="12:12" x14ac:dyDescent="0.3">
      <c r="L356" s="68"/>
    </row>
    <row r="357" spans="12:12" x14ac:dyDescent="0.3">
      <c r="L357" s="68"/>
    </row>
    <row r="358" spans="12:12" x14ac:dyDescent="0.3">
      <c r="L358" s="68"/>
    </row>
    <row r="359" spans="12:12" x14ac:dyDescent="0.3">
      <c r="L359" s="68"/>
    </row>
    <row r="360" spans="12:12" x14ac:dyDescent="0.3">
      <c r="L360" s="68"/>
    </row>
    <row r="361" spans="12:12" x14ac:dyDescent="0.3">
      <c r="L361" s="68"/>
    </row>
    <row r="362" spans="12:12" x14ac:dyDescent="0.3">
      <c r="L362" s="68"/>
    </row>
    <row r="363" spans="12:12" x14ac:dyDescent="0.3">
      <c r="L363" s="68"/>
    </row>
    <row r="364" spans="12:12" x14ac:dyDescent="0.3">
      <c r="L364" s="68"/>
    </row>
    <row r="365" spans="12:12" x14ac:dyDescent="0.3">
      <c r="L365" s="68"/>
    </row>
    <row r="366" spans="12:12" x14ac:dyDescent="0.3">
      <c r="L366" s="68"/>
    </row>
    <row r="367" spans="12:12" x14ac:dyDescent="0.3">
      <c r="L367" s="68"/>
    </row>
    <row r="368" spans="12:12" x14ac:dyDescent="0.3">
      <c r="L368" s="68"/>
    </row>
    <row r="369" spans="12:12" x14ac:dyDescent="0.3">
      <c r="L369" s="68"/>
    </row>
    <row r="370" spans="12:12" x14ac:dyDescent="0.3">
      <c r="L370" s="68"/>
    </row>
    <row r="371" spans="12:12" x14ac:dyDescent="0.3">
      <c r="L371" s="68"/>
    </row>
    <row r="372" spans="12:12" x14ac:dyDescent="0.3">
      <c r="L372" s="68"/>
    </row>
    <row r="373" spans="12:12" x14ac:dyDescent="0.3">
      <c r="L373" s="68"/>
    </row>
    <row r="374" spans="12:12" x14ac:dyDescent="0.3">
      <c r="L374" s="68"/>
    </row>
    <row r="375" spans="12:12" x14ac:dyDescent="0.3">
      <c r="L375" s="68"/>
    </row>
    <row r="376" spans="12:12" x14ac:dyDescent="0.3">
      <c r="L376" s="68"/>
    </row>
    <row r="377" spans="12:12" x14ac:dyDescent="0.3">
      <c r="L377" s="68"/>
    </row>
    <row r="378" spans="12:12" x14ac:dyDescent="0.3">
      <c r="L378" s="68"/>
    </row>
    <row r="379" spans="12:12" x14ac:dyDescent="0.3">
      <c r="L379" s="68"/>
    </row>
    <row r="380" spans="12:12" x14ac:dyDescent="0.3">
      <c r="L380" s="68"/>
    </row>
    <row r="381" spans="12:12" x14ac:dyDescent="0.3">
      <c r="L381" s="68"/>
    </row>
    <row r="382" spans="12:12" x14ac:dyDescent="0.3">
      <c r="L382" s="68"/>
    </row>
    <row r="383" spans="12:12" x14ac:dyDescent="0.3">
      <c r="L383" s="68"/>
    </row>
    <row r="384" spans="12:12" x14ac:dyDescent="0.3">
      <c r="L384" s="68"/>
    </row>
    <row r="385" spans="12:12" x14ac:dyDescent="0.3">
      <c r="L385" s="68"/>
    </row>
    <row r="386" spans="12:12" x14ac:dyDescent="0.3">
      <c r="L386" s="68"/>
    </row>
    <row r="387" spans="12:12" x14ac:dyDescent="0.3">
      <c r="L387" s="68"/>
    </row>
    <row r="388" spans="12:12" x14ac:dyDescent="0.3">
      <c r="L388" s="68"/>
    </row>
    <row r="389" spans="12:12" x14ac:dyDescent="0.3">
      <c r="L389" s="68"/>
    </row>
    <row r="390" spans="12:12" x14ac:dyDescent="0.3">
      <c r="L390" s="68"/>
    </row>
    <row r="391" spans="12:12" x14ac:dyDescent="0.3">
      <c r="L391" s="68"/>
    </row>
    <row r="392" spans="12:12" x14ac:dyDescent="0.3">
      <c r="L392" s="68"/>
    </row>
    <row r="393" spans="12:12" x14ac:dyDescent="0.3">
      <c r="L393" s="68"/>
    </row>
    <row r="394" spans="12:12" x14ac:dyDescent="0.3">
      <c r="L394" s="68"/>
    </row>
    <row r="395" spans="12:12" x14ac:dyDescent="0.3">
      <c r="L395" s="68"/>
    </row>
    <row r="396" spans="12:12" x14ac:dyDescent="0.3">
      <c r="L396" s="68"/>
    </row>
    <row r="397" spans="12:12" x14ac:dyDescent="0.3">
      <c r="L397" s="68"/>
    </row>
    <row r="398" spans="12:12" x14ac:dyDescent="0.3">
      <c r="L398" s="68"/>
    </row>
    <row r="399" spans="12:12" x14ac:dyDescent="0.3">
      <c r="L399" s="68"/>
    </row>
    <row r="400" spans="12:12" x14ac:dyDescent="0.3">
      <c r="L400" s="68"/>
    </row>
    <row r="401" spans="12:12" x14ac:dyDescent="0.3">
      <c r="L401" s="68"/>
    </row>
    <row r="402" spans="12:12" x14ac:dyDescent="0.3">
      <c r="L402" s="68"/>
    </row>
    <row r="403" spans="12:12" x14ac:dyDescent="0.3">
      <c r="L403" s="68"/>
    </row>
    <row r="404" spans="12:12" x14ac:dyDescent="0.3">
      <c r="L404" s="68"/>
    </row>
    <row r="405" spans="12:12" x14ac:dyDescent="0.3">
      <c r="L405" s="68"/>
    </row>
    <row r="406" spans="12:12" x14ac:dyDescent="0.3">
      <c r="L406" s="68"/>
    </row>
    <row r="407" spans="12:12" x14ac:dyDescent="0.3">
      <c r="L407" s="68"/>
    </row>
    <row r="408" spans="12:12" x14ac:dyDescent="0.3">
      <c r="L408" s="68"/>
    </row>
    <row r="409" spans="12:12" x14ac:dyDescent="0.3">
      <c r="L409" s="68"/>
    </row>
    <row r="410" spans="12:12" x14ac:dyDescent="0.3">
      <c r="L410" s="68"/>
    </row>
    <row r="411" spans="12:12" x14ac:dyDescent="0.3">
      <c r="L411" s="68"/>
    </row>
    <row r="412" spans="12:12" x14ac:dyDescent="0.3">
      <c r="L412" s="68"/>
    </row>
    <row r="413" spans="12:12" x14ac:dyDescent="0.3">
      <c r="L413" s="68"/>
    </row>
    <row r="414" spans="12:12" x14ac:dyDescent="0.3">
      <c r="L414" s="68"/>
    </row>
    <row r="415" spans="12:12" x14ac:dyDescent="0.3">
      <c r="L415" s="68"/>
    </row>
    <row r="416" spans="12:12" x14ac:dyDescent="0.3">
      <c r="L416" s="68"/>
    </row>
    <row r="417" spans="12:12" x14ac:dyDescent="0.3">
      <c r="L417" s="68"/>
    </row>
    <row r="418" spans="12:12" x14ac:dyDescent="0.3">
      <c r="L418" s="68"/>
    </row>
    <row r="419" spans="12:12" x14ac:dyDescent="0.3">
      <c r="L419" s="68"/>
    </row>
    <row r="420" spans="12:12" x14ac:dyDescent="0.3">
      <c r="L420" s="68"/>
    </row>
    <row r="421" spans="12:12" x14ac:dyDescent="0.3">
      <c r="L421" s="68"/>
    </row>
    <row r="422" spans="12:12" x14ac:dyDescent="0.3">
      <c r="L422" s="68"/>
    </row>
    <row r="423" spans="12:12" x14ac:dyDescent="0.3">
      <c r="L423" s="68"/>
    </row>
    <row r="424" spans="12:12" x14ac:dyDescent="0.3">
      <c r="L424" s="68"/>
    </row>
    <row r="425" spans="12:12" x14ac:dyDescent="0.3">
      <c r="L425" s="68"/>
    </row>
    <row r="426" spans="12:12" x14ac:dyDescent="0.3">
      <c r="L426" s="68"/>
    </row>
    <row r="427" spans="12:12" x14ac:dyDescent="0.3">
      <c r="L427" s="68"/>
    </row>
    <row r="428" spans="12:12" x14ac:dyDescent="0.3">
      <c r="L428" s="68"/>
    </row>
    <row r="429" spans="12:12" x14ac:dyDescent="0.3">
      <c r="L429" s="68"/>
    </row>
    <row r="430" spans="12:12" x14ac:dyDescent="0.3">
      <c r="L430" s="68"/>
    </row>
    <row r="431" spans="12:12" x14ac:dyDescent="0.3">
      <c r="L431" s="68"/>
    </row>
    <row r="432" spans="12:12" x14ac:dyDescent="0.3">
      <c r="L432" s="68"/>
    </row>
    <row r="433" spans="12:12" x14ac:dyDescent="0.3">
      <c r="L433" s="68"/>
    </row>
    <row r="434" spans="12:12" x14ac:dyDescent="0.3">
      <c r="L434" s="68"/>
    </row>
    <row r="435" spans="12:12" x14ac:dyDescent="0.3">
      <c r="L435" s="68"/>
    </row>
    <row r="436" spans="12:12" x14ac:dyDescent="0.3">
      <c r="L436" s="68"/>
    </row>
    <row r="437" spans="12:12" x14ac:dyDescent="0.3">
      <c r="L437" s="68"/>
    </row>
    <row r="438" spans="12:12" x14ac:dyDescent="0.3">
      <c r="L438" s="68"/>
    </row>
    <row r="439" spans="12:12" x14ac:dyDescent="0.3">
      <c r="L439" s="68"/>
    </row>
    <row r="440" spans="12:12" x14ac:dyDescent="0.3">
      <c r="L440" s="68"/>
    </row>
    <row r="441" spans="12:12" x14ac:dyDescent="0.3">
      <c r="L441" s="68"/>
    </row>
    <row r="442" spans="12:12" x14ac:dyDescent="0.3">
      <c r="L442" s="68"/>
    </row>
    <row r="443" spans="12:12" x14ac:dyDescent="0.3">
      <c r="L443" s="68"/>
    </row>
    <row r="444" spans="12:12" x14ac:dyDescent="0.3">
      <c r="L444" s="68"/>
    </row>
    <row r="445" spans="12:12" x14ac:dyDescent="0.3">
      <c r="L445" s="68"/>
    </row>
    <row r="446" spans="12:12" x14ac:dyDescent="0.3">
      <c r="L446" s="68"/>
    </row>
    <row r="447" spans="12:12" x14ac:dyDescent="0.3">
      <c r="L447" s="68"/>
    </row>
    <row r="448" spans="12:12" x14ac:dyDescent="0.3">
      <c r="L448" s="68"/>
    </row>
    <row r="449" spans="12:12" x14ac:dyDescent="0.3">
      <c r="L449" s="68"/>
    </row>
    <row r="450" spans="12:12" x14ac:dyDescent="0.3">
      <c r="L450" s="68"/>
    </row>
    <row r="451" spans="12:12" x14ac:dyDescent="0.3">
      <c r="L451" s="68"/>
    </row>
    <row r="452" spans="12:12" x14ac:dyDescent="0.3">
      <c r="L452" s="68"/>
    </row>
    <row r="453" spans="12:12" x14ac:dyDescent="0.3">
      <c r="L453" s="68"/>
    </row>
    <row r="454" spans="12:12" x14ac:dyDescent="0.3">
      <c r="L454" s="68"/>
    </row>
    <row r="455" spans="12:12" x14ac:dyDescent="0.3">
      <c r="L455" s="68"/>
    </row>
    <row r="456" spans="12:12" x14ac:dyDescent="0.3">
      <c r="L456" s="68"/>
    </row>
    <row r="457" spans="12:12" x14ac:dyDescent="0.3">
      <c r="L457" s="68"/>
    </row>
    <row r="458" spans="12:12" x14ac:dyDescent="0.3">
      <c r="L458" s="68"/>
    </row>
    <row r="459" spans="12:12" x14ac:dyDescent="0.3">
      <c r="L459" s="68"/>
    </row>
    <row r="460" spans="12:12" x14ac:dyDescent="0.3">
      <c r="L460" s="68"/>
    </row>
    <row r="461" spans="12:12" x14ac:dyDescent="0.3">
      <c r="L461" s="68"/>
    </row>
    <row r="462" spans="12:12" x14ac:dyDescent="0.3">
      <c r="L462" s="68"/>
    </row>
    <row r="463" spans="12:12" x14ac:dyDescent="0.3">
      <c r="L463" s="68"/>
    </row>
    <row r="464" spans="12:12" x14ac:dyDescent="0.3">
      <c r="L464" s="68"/>
    </row>
    <row r="465" spans="12:12" x14ac:dyDescent="0.3">
      <c r="L465" s="68"/>
    </row>
    <row r="466" spans="12:12" x14ac:dyDescent="0.3">
      <c r="L466" s="68"/>
    </row>
    <row r="467" spans="12:12" x14ac:dyDescent="0.3">
      <c r="L467" s="68"/>
    </row>
    <row r="468" spans="12:12" x14ac:dyDescent="0.3">
      <c r="L468" s="68"/>
    </row>
    <row r="469" spans="12:12" x14ac:dyDescent="0.3">
      <c r="L469" s="68"/>
    </row>
    <row r="470" spans="12:12" x14ac:dyDescent="0.3">
      <c r="L470" s="68"/>
    </row>
    <row r="471" spans="12:12" x14ac:dyDescent="0.3">
      <c r="L471" s="68"/>
    </row>
    <row r="472" spans="12:12" x14ac:dyDescent="0.3">
      <c r="L472" s="68"/>
    </row>
    <row r="473" spans="12:12" x14ac:dyDescent="0.3">
      <c r="L473" s="68"/>
    </row>
    <row r="474" spans="12:12" x14ac:dyDescent="0.3">
      <c r="L474" s="68"/>
    </row>
    <row r="475" spans="12:12" x14ac:dyDescent="0.3">
      <c r="L475" s="68"/>
    </row>
    <row r="476" spans="12:12" x14ac:dyDescent="0.3">
      <c r="L476" s="68"/>
    </row>
    <row r="477" spans="12:12" x14ac:dyDescent="0.3">
      <c r="L477" s="68"/>
    </row>
    <row r="478" spans="12:12" x14ac:dyDescent="0.3">
      <c r="L478" s="68"/>
    </row>
    <row r="479" spans="12:12" x14ac:dyDescent="0.3">
      <c r="L479" s="68"/>
    </row>
    <row r="480" spans="12:12" x14ac:dyDescent="0.3">
      <c r="L480" s="68"/>
    </row>
    <row r="481" spans="12:12" x14ac:dyDescent="0.3">
      <c r="L481" s="68"/>
    </row>
    <row r="482" spans="12:12" x14ac:dyDescent="0.3">
      <c r="L482" s="68"/>
    </row>
    <row r="483" spans="12:12" x14ac:dyDescent="0.3">
      <c r="L483" s="68"/>
    </row>
    <row r="484" spans="12:12" x14ac:dyDescent="0.3">
      <c r="L484" s="68"/>
    </row>
    <row r="485" spans="12:12" x14ac:dyDescent="0.3">
      <c r="L485" s="68"/>
    </row>
    <row r="486" spans="12:12" x14ac:dyDescent="0.3">
      <c r="L486" s="68"/>
    </row>
    <row r="487" spans="12:12" x14ac:dyDescent="0.3">
      <c r="L487" s="68"/>
    </row>
    <row r="488" spans="12:12" x14ac:dyDescent="0.3">
      <c r="L488" s="68"/>
    </row>
    <row r="489" spans="12:12" x14ac:dyDescent="0.3">
      <c r="L489" s="68"/>
    </row>
    <row r="490" spans="12:12" x14ac:dyDescent="0.3">
      <c r="L490" s="68"/>
    </row>
    <row r="491" spans="12:12" x14ac:dyDescent="0.3">
      <c r="L491" s="68"/>
    </row>
    <row r="492" spans="12:12" x14ac:dyDescent="0.3">
      <c r="L492" s="68"/>
    </row>
    <row r="493" spans="12:12" x14ac:dyDescent="0.3">
      <c r="L493" s="68"/>
    </row>
    <row r="494" spans="12:12" x14ac:dyDescent="0.3">
      <c r="L494" s="68"/>
    </row>
    <row r="495" spans="12:12" x14ac:dyDescent="0.3">
      <c r="L495" s="68"/>
    </row>
    <row r="496" spans="12:12" x14ac:dyDescent="0.3">
      <c r="L496" s="68"/>
    </row>
    <row r="497" spans="12:12" x14ac:dyDescent="0.3">
      <c r="L497" s="68"/>
    </row>
    <row r="498" spans="12:12" x14ac:dyDescent="0.3">
      <c r="L498" s="68"/>
    </row>
    <row r="499" spans="12:12" x14ac:dyDescent="0.3">
      <c r="L499" s="68"/>
    </row>
    <row r="500" spans="12:12" x14ac:dyDescent="0.3">
      <c r="L500" s="68"/>
    </row>
    <row r="501" spans="12:12" x14ac:dyDescent="0.3">
      <c r="L501" s="68"/>
    </row>
    <row r="502" spans="12:12" x14ac:dyDescent="0.3">
      <c r="L502" s="68"/>
    </row>
    <row r="503" spans="12:12" x14ac:dyDescent="0.3">
      <c r="L503" s="68"/>
    </row>
    <row r="504" spans="12:12" x14ac:dyDescent="0.3">
      <c r="L504" s="68"/>
    </row>
    <row r="505" spans="12:12" x14ac:dyDescent="0.3">
      <c r="L505" s="68"/>
    </row>
    <row r="506" spans="12:12" x14ac:dyDescent="0.3">
      <c r="L506" s="68"/>
    </row>
    <row r="507" spans="12:12" x14ac:dyDescent="0.3">
      <c r="L507" s="68"/>
    </row>
    <row r="508" spans="12:12" x14ac:dyDescent="0.3">
      <c r="L508" s="68"/>
    </row>
    <row r="509" spans="12:12" x14ac:dyDescent="0.3">
      <c r="L509" s="68"/>
    </row>
    <row r="510" spans="12:12" x14ac:dyDescent="0.3">
      <c r="L510" s="68"/>
    </row>
    <row r="511" spans="12:12" x14ac:dyDescent="0.3">
      <c r="L511" s="68"/>
    </row>
    <row r="512" spans="12:12" x14ac:dyDescent="0.3">
      <c r="L512" s="68"/>
    </row>
    <row r="513" spans="12:12" x14ac:dyDescent="0.3">
      <c r="L513" s="68"/>
    </row>
    <row r="514" spans="12:12" x14ac:dyDescent="0.3">
      <c r="L514" s="68"/>
    </row>
    <row r="515" spans="12:12" x14ac:dyDescent="0.3">
      <c r="L515" s="68"/>
    </row>
    <row r="516" spans="12:12" x14ac:dyDescent="0.3">
      <c r="L516" s="68"/>
    </row>
    <row r="517" spans="12:12" x14ac:dyDescent="0.3">
      <c r="L517" s="68"/>
    </row>
    <row r="518" spans="12:12" x14ac:dyDescent="0.3">
      <c r="L518" s="68"/>
    </row>
    <row r="519" spans="12:12" x14ac:dyDescent="0.3">
      <c r="L519" s="68"/>
    </row>
    <row r="520" spans="12:12" x14ac:dyDescent="0.3">
      <c r="L520" s="68"/>
    </row>
    <row r="521" spans="12:12" x14ac:dyDescent="0.3">
      <c r="L521" s="68"/>
    </row>
    <row r="522" spans="12:12" x14ac:dyDescent="0.3">
      <c r="L522" s="68"/>
    </row>
    <row r="523" spans="12:12" x14ac:dyDescent="0.3">
      <c r="L523" s="68"/>
    </row>
    <row r="524" spans="12:12" x14ac:dyDescent="0.3">
      <c r="L524" s="68"/>
    </row>
    <row r="525" spans="12:12" x14ac:dyDescent="0.3">
      <c r="L525" s="68"/>
    </row>
    <row r="526" spans="12:12" x14ac:dyDescent="0.3">
      <c r="L526" s="68"/>
    </row>
    <row r="527" spans="12:12" x14ac:dyDescent="0.3">
      <c r="L527" s="68"/>
    </row>
    <row r="528" spans="12:12" x14ac:dyDescent="0.3">
      <c r="L528" s="68"/>
    </row>
    <row r="529" spans="12:12" x14ac:dyDescent="0.3">
      <c r="L529" s="68"/>
    </row>
    <row r="530" spans="12:12" x14ac:dyDescent="0.3">
      <c r="L530" s="68"/>
    </row>
    <row r="531" spans="12:12" x14ac:dyDescent="0.3">
      <c r="L531" s="68"/>
    </row>
    <row r="532" spans="12:12" x14ac:dyDescent="0.3">
      <c r="L532" s="68"/>
    </row>
    <row r="533" spans="12:12" x14ac:dyDescent="0.3">
      <c r="L533" s="68"/>
    </row>
    <row r="534" spans="12:12" x14ac:dyDescent="0.3">
      <c r="L534" s="68"/>
    </row>
    <row r="535" spans="12:12" x14ac:dyDescent="0.3">
      <c r="L535" s="68"/>
    </row>
    <row r="536" spans="12:12" x14ac:dyDescent="0.3">
      <c r="L536" s="68"/>
    </row>
    <row r="537" spans="12:12" x14ac:dyDescent="0.3">
      <c r="L537" s="68"/>
    </row>
    <row r="538" spans="12:12" x14ac:dyDescent="0.3">
      <c r="L538" s="68"/>
    </row>
    <row r="539" spans="12:12" x14ac:dyDescent="0.3">
      <c r="L539" s="68"/>
    </row>
    <row r="540" spans="12:12" x14ac:dyDescent="0.3">
      <c r="L540" s="68"/>
    </row>
    <row r="541" spans="12:12" x14ac:dyDescent="0.3">
      <c r="L541" s="68"/>
    </row>
    <row r="542" spans="12:12" x14ac:dyDescent="0.3">
      <c r="L542" s="68"/>
    </row>
    <row r="543" spans="12:12" x14ac:dyDescent="0.3">
      <c r="L543" s="68"/>
    </row>
    <row r="544" spans="12:12" x14ac:dyDescent="0.3">
      <c r="L544" s="68"/>
    </row>
    <row r="545" spans="12:12" x14ac:dyDescent="0.3">
      <c r="L545" s="68"/>
    </row>
    <row r="546" spans="12:12" x14ac:dyDescent="0.3">
      <c r="L546" s="68"/>
    </row>
    <row r="547" spans="12:12" x14ac:dyDescent="0.3">
      <c r="L547" s="68"/>
    </row>
    <row r="548" spans="12:12" x14ac:dyDescent="0.3">
      <c r="L548" s="68"/>
    </row>
    <row r="549" spans="12:12" x14ac:dyDescent="0.3">
      <c r="L549" s="68"/>
    </row>
    <row r="550" spans="12:12" x14ac:dyDescent="0.3">
      <c r="L550" s="68"/>
    </row>
    <row r="551" spans="12:12" x14ac:dyDescent="0.3">
      <c r="L551" s="68"/>
    </row>
    <row r="552" spans="12:12" x14ac:dyDescent="0.3">
      <c r="L552" s="68"/>
    </row>
    <row r="553" spans="12:12" x14ac:dyDescent="0.3">
      <c r="L553" s="68"/>
    </row>
    <row r="554" spans="12:12" x14ac:dyDescent="0.3">
      <c r="L554" s="68"/>
    </row>
    <row r="555" spans="12:12" x14ac:dyDescent="0.3">
      <c r="L555" s="68"/>
    </row>
    <row r="556" spans="12:12" x14ac:dyDescent="0.3">
      <c r="L556" s="68"/>
    </row>
    <row r="557" spans="12:12" x14ac:dyDescent="0.3">
      <c r="L557" s="68"/>
    </row>
    <row r="558" spans="12:12" x14ac:dyDescent="0.3">
      <c r="L558" s="68"/>
    </row>
    <row r="559" spans="12:12" x14ac:dyDescent="0.3">
      <c r="L559" s="68"/>
    </row>
    <row r="560" spans="12:12" x14ac:dyDescent="0.3">
      <c r="L560" s="68"/>
    </row>
    <row r="561" spans="12:12" x14ac:dyDescent="0.3">
      <c r="L561" s="68"/>
    </row>
    <row r="562" spans="12:12" x14ac:dyDescent="0.3">
      <c r="L562" s="68"/>
    </row>
    <row r="563" spans="12:12" x14ac:dyDescent="0.3">
      <c r="L563" s="68"/>
    </row>
    <row r="564" spans="12:12" x14ac:dyDescent="0.3">
      <c r="L564" s="68"/>
    </row>
    <row r="565" spans="12:12" x14ac:dyDescent="0.3">
      <c r="L565" s="68"/>
    </row>
    <row r="566" spans="12:12" x14ac:dyDescent="0.3">
      <c r="L566" s="68"/>
    </row>
    <row r="567" spans="12:12" x14ac:dyDescent="0.3">
      <c r="L567" s="68"/>
    </row>
    <row r="568" spans="12:12" x14ac:dyDescent="0.3">
      <c r="L568" s="68"/>
    </row>
    <row r="569" spans="12:12" x14ac:dyDescent="0.3">
      <c r="L569" s="68"/>
    </row>
    <row r="570" spans="12:12" x14ac:dyDescent="0.3">
      <c r="L570" s="68"/>
    </row>
    <row r="571" spans="12:12" x14ac:dyDescent="0.3">
      <c r="L571" s="68"/>
    </row>
    <row r="572" spans="12:12" x14ac:dyDescent="0.3">
      <c r="L572" s="68"/>
    </row>
    <row r="573" spans="12:12" x14ac:dyDescent="0.3">
      <c r="L573" s="68"/>
    </row>
    <row r="574" spans="12:12" x14ac:dyDescent="0.3">
      <c r="L574" s="68"/>
    </row>
    <row r="575" spans="12:12" x14ac:dyDescent="0.3">
      <c r="L575" s="68"/>
    </row>
    <row r="576" spans="12:12" x14ac:dyDescent="0.3">
      <c r="L576" s="68"/>
    </row>
    <row r="577" spans="12:12" x14ac:dyDescent="0.3">
      <c r="L577" s="68"/>
    </row>
    <row r="578" spans="12:12" x14ac:dyDescent="0.3">
      <c r="L578" s="68"/>
    </row>
    <row r="579" spans="12:12" x14ac:dyDescent="0.3">
      <c r="L579" s="68"/>
    </row>
    <row r="580" spans="12:12" x14ac:dyDescent="0.3">
      <c r="L580" s="68"/>
    </row>
    <row r="581" spans="12:12" x14ac:dyDescent="0.3">
      <c r="L581" s="68"/>
    </row>
    <row r="582" spans="12:12" x14ac:dyDescent="0.3">
      <c r="L582" s="68"/>
    </row>
    <row r="583" spans="12:12" x14ac:dyDescent="0.3">
      <c r="L583" s="68"/>
    </row>
    <row r="584" spans="12:12" x14ac:dyDescent="0.3">
      <c r="L584" s="68"/>
    </row>
    <row r="585" spans="12:12" x14ac:dyDescent="0.3">
      <c r="L585" s="68"/>
    </row>
    <row r="586" spans="12:12" x14ac:dyDescent="0.3">
      <c r="L586" s="68"/>
    </row>
    <row r="587" spans="12:12" x14ac:dyDescent="0.3">
      <c r="L587" s="68"/>
    </row>
    <row r="588" spans="12:12" x14ac:dyDescent="0.3">
      <c r="L588" s="68"/>
    </row>
    <row r="589" spans="12:12" x14ac:dyDescent="0.3">
      <c r="L589" s="68"/>
    </row>
    <row r="590" spans="12:12" x14ac:dyDescent="0.3">
      <c r="L590" s="68"/>
    </row>
    <row r="591" spans="12:12" x14ac:dyDescent="0.3">
      <c r="L591" s="68"/>
    </row>
    <row r="592" spans="12:12" x14ac:dyDescent="0.3">
      <c r="L592" s="68"/>
    </row>
    <row r="593" spans="12:12" x14ac:dyDescent="0.3">
      <c r="L593" s="68"/>
    </row>
    <row r="594" spans="12:12" x14ac:dyDescent="0.3">
      <c r="L594" s="68"/>
    </row>
    <row r="595" spans="12:12" x14ac:dyDescent="0.3">
      <c r="L595" s="68"/>
    </row>
    <row r="596" spans="12:12" x14ac:dyDescent="0.3">
      <c r="L596" s="68"/>
    </row>
    <row r="597" spans="12:12" x14ac:dyDescent="0.3">
      <c r="L597" s="68"/>
    </row>
    <row r="598" spans="12:12" x14ac:dyDescent="0.3">
      <c r="L598" s="68"/>
    </row>
    <row r="599" spans="12:12" x14ac:dyDescent="0.3">
      <c r="L599" s="68"/>
    </row>
    <row r="600" spans="12:12" x14ac:dyDescent="0.3">
      <c r="L600" s="68"/>
    </row>
    <row r="601" spans="12:12" x14ac:dyDescent="0.3">
      <c r="L601" s="68"/>
    </row>
    <row r="602" spans="12:12" x14ac:dyDescent="0.3">
      <c r="L602" s="68"/>
    </row>
    <row r="603" spans="12:12" x14ac:dyDescent="0.3">
      <c r="L603" s="68"/>
    </row>
    <row r="604" spans="12:12" x14ac:dyDescent="0.3">
      <c r="L604" s="68"/>
    </row>
    <row r="605" spans="12:12" x14ac:dyDescent="0.3">
      <c r="L605" s="68"/>
    </row>
    <row r="606" spans="12:12" x14ac:dyDescent="0.3">
      <c r="L606" s="68"/>
    </row>
    <row r="607" spans="12:12" x14ac:dyDescent="0.3">
      <c r="L607" s="68"/>
    </row>
    <row r="608" spans="12:12" x14ac:dyDescent="0.3">
      <c r="L608" s="68"/>
    </row>
    <row r="609" spans="12:12" x14ac:dyDescent="0.3">
      <c r="L609" s="68"/>
    </row>
    <row r="610" spans="12:12" x14ac:dyDescent="0.3">
      <c r="L610" s="68"/>
    </row>
    <row r="611" spans="12:12" x14ac:dyDescent="0.3">
      <c r="L611" s="68"/>
    </row>
    <row r="612" spans="12:12" x14ac:dyDescent="0.3">
      <c r="L612" s="68"/>
    </row>
    <row r="613" spans="12:12" x14ac:dyDescent="0.3">
      <c r="L613" s="68"/>
    </row>
    <row r="614" spans="12:12" x14ac:dyDescent="0.3">
      <c r="L614" s="68"/>
    </row>
    <row r="615" spans="12:12" x14ac:dyDescent="0.3">
      <c r="L615" s="68"/>
    </row>
    <row r="616" spans="12:12" x14ac:dyDescent="0.3">
      <c r="L616" s="68"/>
    </row>
    <row r="617" spans="12:12" x14ac:dyDescent="0.3">
      <c r="L617" s="68"/>
    </row>
    <row r="618" spans="12:12" x14ac:dyDescent="0.3">
      <c r="L618" s="68"/>
    </row>
    <row r="619" spans="12:12" x14ac:dyDescent="0.3">
      <c r="L619" s="68"/>
    </row>
    <row r="620" spans="12:12" x14ac:dyDescent="0.3">
      <c r="L620" s="68"/>
    </row>
    <row r="621" spans="12:12" x14ac:dyDescent="0.3">
      <c r="L621" s="68"/>
    </row>
    <row r="622" spans="12:12" x14ac:dyDescent="0.3">
      <c r="L622" s="68"/>
    </row>
    <row r="623" spans="12:12" x14ac:dyDescent="0.3">
      <c r="L623" s="68"/>
    </row>
    <row r="624" spans="12:12" x14ac:dyDescent="0.3">
      <c r="L624" s="68"/>
    </row>
    <row r="625" spans="12:12" x14ac:dyDescent="0.3">
      <c r="L625" s="68"/>
    </row>
    <row r="626" spans="12:12" x14ac:dyDescent="0.3">
      <c r="L626" s="68"/>
    </row>
    <row r="627" spans="12:12" x14ac:dyDescent="0.3">
      <c r="L627" s="68"/>
    </row>
    <row r="628" spans="12:12" x14ac:dyDescent="0.3">
      <c r="L628" s="68"/>
    </row>
    <row r="629" spans="12:12" x14ac:dyDescent="0.3">
      <c r="L629" s="68"/>
    </row>
    <row r="630" spans="12:12" x14ac:dyDescent="0.3">
      <c r="L630" s="68"/>
    </row>
    <row r="631" spans="12:12" x14ac:dyDescent="0.3">
      <c r="L631" s="68"/>
    </row>
    <row r="632" spans="12:12" x14ac:dyDescent="0.3">
      <c r="L632" s="68"/>
    </row>
    <row r="633" spans="12:12" x14ac:dyDescent="0.3">
      <c r="L633" s="68"/>
    </row>
    <row r="634" spans="12:12" x14ac:dyDescent="0.3">
      <c r="L634" s="68"/>
    </row>
    <row r="635" spans="12:12" x14ac:dyDescent="0.3">
      <c r="L635" s="68"/>
    </row>
    <row r="636" spans="12:12" x14ac:dyDescent="0.3">
      <c r="L636" s="68"/>
    </row>
    <row r="637" spans="12:12" x14ac:dyDescent="0.3">
      <c r="L637" s="68"/>
    </row>
    <row r="638" spans="12:12" x14ac:dyDescent="0.3">
      <c r="L638" s="68"/>
    </row>
    <row r="639" spans="12:12" x14ac:dyDescent="0.3">
      <c r="L639" s="68"/>
    </row>
    <row r="640" spans="12:12" x14ac:dyDescent="0.3">
      <c r="L640" s="68"/>
    </row>
    <row r="641" spans="12:12" x14ac:dyDescent="0.3">
      <c r="L641" s="68"/>
    </row>
    <row r="642" spans="12:12" x14ac:dyDescent="0.3">
      <c r="L642" s="68"/>
    </row>
    <row r="643" spans="12:12" x14ac:dyDescent="0.3">
      <c r="L643" s="68"/>
    </row>
    <row r="644" spans="12:12" x14ac:dyDescent="0.3">
      <c r="L644" s="68"/>
    </row>
    <row r="645" spans="12:12" x14ac:dyDescent="0.3">
      <c r="L645" s="68"/>
    </row>
    <row r="646" spans="12:12" x14ac:dyDescent="0.3">
      <c r="L646" s="68"/>
    </row>
    <row r="647" spans="12:12" x14ac:dyDescent="0.3">
      <c r="L647" s="68"/>
    </row>
    <row r="648" spans="12:12" x14ac:dyDescent="0.3">
      <c r="L648" s="68"/>
    </row>
    <row r="649" spans="12:12" x14ac:dyDescent="0.3">
      <c r="L649" s="68"/>
    </row>
    <row r="650" spans="12:12" x14ac:dyDescent="0.3">
      <c r="L650" s="68"/>
    </row>
    <row r="651" spans="12:12" x14ac:dyDescent="0.3">
      <c r="L651" s="68"/>
    </row>
    <row r="652" spans="12:12" x14ac:dyDescent="0.3">
      <c r="L652" s="68"/>
    </row>
    <row r="653" spans="12:12" x14ac:dyDescent="0.3">
      <c r="L653" s="68"/>
    </row>
    <row r="654" spans="12:12" x14ac:dyDescent="0.3">
      <c r="L654" s="68"/>
    </row>
    <row r="655" spans="12:12" x14ac:dyDescent="0.3">
      <c r="L655" s="68"/>
    </row>
    <row r="656" spans="12:12" x14ac:dyDescent="0.3">
      <c r="L656" s="68"/>
    </row>
    <row r="657" spans="12:12" x14ac:dyDescent="0.3">
      <c r="L657" s="68"/>
    </row>
    <row r="658" spans="12:12" x14ac:dyDescent="0.3">
      <c r="L658" s="68"/>
    </row>
    <row r="659" spans="12:12" x14ac:dyDescent="0.3">
      <c r="L659" s="68"/>
    </row>
    <row r="660" spans="12:12" x14ac:dyDescent="0.3">
      <c r="L660" s="68"/>
    </row>
    <row r="661" spans="12:12" x14ac:dyDescent="0.3">
      <c r="L661" s="68"/>
    </row>
    <row r="662" spans="12:12" x14ac:dyDescent="0.3">
      <c r="L662" s="68"/>
    </row>
    <row r="663" spans="12:12" x14ac:dyDescent="0.3">
      <c r="L663" s="68"/>
    </row>
    <row r="664" spans="12:12" x14ac:dyDescent="0.3">
      <c r="L664" s="68"/>
    </row>
    <row r="665" spans="12:12" x14ac:dyDescent="0.3">
      <c r="L665" s="68"/>
    </row>
    <row r="666" spans="12:12" x14ac:dyDescent="0.3">
      <c r="L666" s="68"/>
    </row>
    <row r="667" spans="12:12" x14ac:dyDescent="0.3">
      <c r="L667" s="68"/>
    </row>
    <row r="668" spans="12:12" x14ac:dyDescent="0.3">
      <c r="L668" s="68"/>
    </row>
    <row r="669" spans="12:12" x14ac:dyDescent="0.3">
      <c r="L669" s="68"/>
    </row>
    <row r="670" spans="12:12" x14ac:dyDescent="0.3">
      <c r="L670" s="68"/>
    </row>
    <row r="671" spans="12:12" x14ac:dyDescent="0.3">
      <c r="L671" s="68"/>
    </row>
    <row r="672" spans="12:12" x14ac:dyDescent="0.3">
      <c r="L672" s="68"/>
    </row>
    <row r="673" spans="12:12" x14ac:dyDescent="0.3">
      <c r="L673" s="68"/>
    </row>
    <row r="674" spans="12:12" x14ac:dyDescent="0.3">
      <c r="L674" s="68"/>
    </row>
    <row r="675" spans="12:12" x14ac:dyDescent="0.3">
      <c r="L675" s="68"/>
    </row>
    <row r="676" spans="12:12" x14ac:dyDescent="0.3">
      <c r="L676" s="68"/>
    </row>
    <row r="677" spans="12:12" x14ac:dyDescent="0.3">
      <c r="L677" s="68"/>
    </row>
    <row r="678" spans="12:12" x14ac:dyDescent="0.3">
      <c r="L678" s="68"/>
    </row>
    <row r="679" spans="12:12" x14ac:dyDescent="0.3">
      <c r="L679" s="68"/>
    </row>
    <row r="680" spans="12:12" x14ac:dyDescent="0.3">
      <c r="L680" s="68"/>
    </row>
    <row r="681" spans="12:12" x14ac:dyDescent="0.3">
      <c r="L681" s="68"/>
    </row>
    <row r="682" spans="12:12" x14ac:dyDescent="0.3">
      <c r="L682" s="68"/>
    </row>
    <row r="683" spans="12:12" x14ac:dyDescent="0.3">
      <c r="L683" s="68"/>
    </row>
    <row r="684" spans="12:12" x14ac:dyDescent="0.3">
      <c r="L684" s="68"/>
    </row>
    <row r="685" spans="12:12" x14ac:dyDescent="0.3">
      <c r="L685" s="68"/>
    </row>
    <row r="686" spans="12:12" x14ac:dyDescent="0.3">
      <c r="L686" s="68"/>
    </row>
    <row r="687" spans="12:12" x14ac:dyDescent="0.3">
      <c r="L687" s="68"/>
    </row>
    <row r="688" spans="12:12" x14ac:dyDescent="0.3">
      <c r="L688" s="68"/>
    </row>
    <row r="689" spans="12:12" x14ac:dyDescent="0.3">
      <c r="L689" s="68"/>
    </row>
    <row r="690" spans="12:12" x14ac:dyDescent="0.3">
      <c r="L690" s="68"/>
    </row>
    <row r="691" spans="12:12" x14ac:dyDescent="0.3">
      <c r="L691" s="68"/>
    </row>
    <row r="692" spans="12:12" x14ac:dyDescent="0.3">
      <c r="L692" s="68"/>
    </row>
    <row r="693" spans="12:12" x14ac:dyDescent="0.3">
      <c r="L693" s="68"/>
    </row>
    <row r="694" spans="12:12" x14ac:dyDescent="0.3">
      <c r="L694" s="68"/>
    </row>
    <row r="695" spans="12:12" x14ac:dyDescent="0.3">
      <c r="L695" s="68"/>
    </row>
    <row r="696" spans="12:12" x14ac:dyDescent="0.3">
      <c r="L696" s="68"/>
    </row>
    <row r="697" spans="12:12" x14ac:dyDescent="0.3">
      <c r="L697" s="68"/>
    </row>
    <row r="698" spans="12:12" x14ac:dyDescent="0.3">
      <c r="L698" s="68"/>
    </row>
    <row r="699" spans="12:12" x14ac:dyDescent="0.3">
      <c r="L699" s="68"/>
    </row>
    <row r="700" spans="12:12" x14ac:dyDescent="0.3">
      <c r="L700" s="68"/>
    </row>
    <row r="701" spans="12:12" x14ac:dyDescent="0.3">
      <c r="L701" s="68"/>
    </row>
    <row r="702" spans="12:12" x14ac:dyDescent="0.3">
      <c r="L702" s="68"/>
    </row>
    <row r="703" spans="12:12" x14ac:dyDescent="0.3">
      <c r="L703" s="68"/>
    </row>
    <row r="704" spans="12:12" x14ac:dyDescent="0.3">
      <c r="L704" s="68"/>
    </row>
    <row r="705" spans="12:12" x14ac:dyDescent="0.3">
      <c r="L705" s="68"/>
    </row>
    <row r="706" spans="12:12" x14ac:dyDescent="0.3">
      <c r="L706" s="68"/>
    </row>
    <row r="707" spans="12:12" x14ac:dyDescent="0.3">
      <c r="L707" s="68"/>
    </row>
    <row r="708" spans="12:12" x14ac:dyDescent="0.3">
      <c r="L708" s="68"/>
    </row>
    <row r="709" spans="12:12" x14ac:dyDescent="0.3">
      <c r="L709" s="68"/>
    </row>
    <row r="710" spans="12:12" x14ac:dyDescent="0.3">
      <c r="L710" s="68"/>
    </row>
    <row r="711" spans="12:12" x14ac:dyDescent="0.3">
      <c r="L711" s="68"/>
    </row>
    <row r="712" spans="12:12" x14ac:dyDescent="0.3">
      <c r="L712" s="68"/>
    </row>
    <row r="713" spans="12:12" x14ac:dyDescent="0.3">
      <c r="L713" s="68"/>
    </row>
    <row r="714" spans="12:12" x14ac:dyDescent="0.3">
      <c r="L714" s="68"/>
    </row>
    <row r="715" spans="12:12" x14ac:dyDescent="0.3">
      <c r="L715" s="68"/>
    </row>
    <row r="716" spans="12:12" x14ac:dyDescent="0.3">
      <c r="L716" s="68"/>
    </row>
    <row r="717" spans="12:12" x14ac:dyDescent="0.3">
      <c r="L717" s="68"/>
    </row>
    <row r="718" spans="12:12" x14ac:dyDescent="0.3">
      <c r="L718" s="68"/>
    </row>
    <row r="719" spans="12:12" x14ac:dyDescent="0.3">
      <c r="L719" s="68"/>
    </row>
  </sheetData>
  <mergeCells count="5">
    <mergeCell ref="E4:J4"/>
    <mergeCell ref="N4:V4"/>
    <mergeCell ref="Y4:AB4"/>
    <mergeCell ref="Y5:Z5"/>
    <mergeCell ref="AA5:AB5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F40FF8-0D0F-42B7-B051-966EAC16DB02}">
  <dimension ref="B1:AF719"/>
  <sheetViews>
    <sheetView topLeftCell="A4" workbookViewId="0">
      <selection activeCell="AA7" sqref="AA7:AB28"/>
    </sheetView>
  </sheetViews>
  <sheetFormatPr defaultColWidth="9.109375" defaultRowHeight="14.4" outlineLevelCol="1" x14ac:dyDescent="0.3"/>
  <cols>
    <col min="1" max="1" width="9.109375" style="68"/>
    <col min="2" max="2" width="6.5546875" style="68" hidden="1" customWidth="1" outlineLevel="1"/>
    <col min="3" max="3" width="9.109375" style="68" hidden="1" customWidth="1" outlineLevel="1"/>
    <col min="4" max="4" width="13.44140625" style="68" hidden="1" customWidth="1" outlineLevel="1"/>
    <col min="5" max="5" width="13.109375" style="68" hidden="1" customWidth="1" outlineLevel="1"/>
    <col min="6" max="6" width="10.5546875" style="68" hidden="1" customWidth="1" outlineLevel="1"/>
    <col min="7" max="8" width="9.5546875" style="68" hidden="1" customWidth="1" outlineLevel="1"/>
    <col min="9" max="9" width="10.5546875" style="68" hidden="1" customWidth="1" outlineLevel="1"/>
    <col min="10" max="10" width="9.5546875" style="68" hidden="1" customWidth="1" outlineLevel="1"/>
    <col min="11" max="11" width="10" style="68" hidden="1" customWidth="1" outlineLevel="1"/>
    <col min="12" max="12" width="3.21875" hidden="1" customWidth="1" outlineLevel="1"/>
    <col min="13" max="16" width="10" style="68" hidden="1" customWidth="1" outlineLevel="1"/>
    <col min="17" max="17" width="1.88671875" style="68" hidden="1" customWidth="1" outlineLevel="1"/>
    <col min="18" max="18" width="10" style="68" hidden="1" customWidth="1" outlineLevel="1"/>
    <col min="19" max="19" width="3.109375" style="68" hidden="1" customWidth="1" outlineLevel="1"/>
    <col min="20" max="20" width="10" style="68" hidden="1" customWidth="1" outlineLevel="1"/>
    <col min="21" max="21" width="3.33203125" style="68" hidden="1" customWidth="1" outlineLevel="1"/>
    <col min="22" max="22" width="10" style="68" hidden="1" customWidth="1" outlineLevel="1"/>
    <col min="23" max="23" width="2.109375" style="68" customWidth="1" collapsed="1"/>
    <col min="24" max="24" width="10" style="68" bestFit="1" customWidth="1"/>
    <col min="25" max="25" width="11" style="68" customWidth="1"/>
    <col min="26" max="26" width="12.6640625" style="68" customWidth="1"/>
    <col min="27" max="27" width="9.6640625" style="68" customWidth="1"/>
    <col min="28" max="28" width="11.21875" style="68" customWidth="1"/>
    <col min="29" max="16384" width="9.109375" style="68"/>
  </cols>
  <sheetData>
    <row r="1" spans="2:32" x14ac:dyDescent="0.3">
      <c r="L1" s="68"/>
    </row>
    <row r="2" spans="2:32" x14ac:dyDescent="0.3">
      <c r="B2" s="66"/>
      <c r="C2" s="66"/>
      <c r="D2" s="66"/>
      <c r="E2" s="66"/>
      <c r="F2" s="66"/>
      <c r="G2" s="66"/>
      <c r="H2" s="66"/>
      <c r="I2" s="66"/>
      <c r="J2" s="66"/>
      <c r="K2" s="66"/>
      <c r="M2" s="66"/>
      <c r="N2" s="66"/>
      <c r="O2" s="66"/>
      <c r="P2" s="66"/>
      <c r="Q2" s="66"/>
      <c r="R2" s="66"/>
      <c r="S2" s="66"/>
      <c r="T2" s="66"/>
      <c r="U2" s="66"/>
      <c r="V2" s="66"/>
      <c r="W2" s="66"/>
      <c r="X2" s="66"/>
      <c r="Y2" s="66"/>
      <c r="Z2" s="66"/>
      <c r="AA2" s="66"/>
      <c r="AB2" s="66"/>
      <c r="AC2" s="66"/>
    </row>
    <row r="3" spans="2:32" ht="18" customHeight="1" x14ac:dyDescent="0.3">
      <c r="B3" s="66"/>
      <c r="C3" s="69" t="str">
        <f>"Employee Tariff Bill Impacts"&amp;"-"&amp;'CETR Rate'!D3</f>
        <v>Employee Tariff Bill Impacts-Distributed Energy Resources Aggregation &amp; Control Platform</v>
      </c>
      <c r="D3" s="66"/>
      <c r="E3" s="66"/>
      <c r="F3" s="66"/>
      <c r="G3" s="66"/>
      <c r="H3" s="66"/>
      <c r="I3" s="66"/>
      <c r="J3" s="66"/>
      <c r="K3" s="66"/>
      <c r="M3" s="66"/>
      <c r="N3" s="66"/>
      <c r="O3" s="66"/>
      <c r="P3" s="66"/>
      <c r="Q3" s="66"/>
      <c r="R3" s="66"/>
      <c r="S3" s="66"/>
      <c r="T3" s="66"/>
      <c r="U3" s="66"/>
      <c r="V3" s="66"/>
      <c r="W3" s="66"/>
      <c r="X3" s="66" t="str">
        <f>C3</f>
        <v>Employee Tariff Bill Impacts-Distributed Energy Resources Aggregation &amp; Control Platform</v>
      </c>
      <c r="Y3" s="66"/>
      <c r="Z3" s="66"/>
      <c r="AA3" s="66"/>
      <c r="AB3" s="66"/>
      <c r="AC3" s="66"/>
      <c r="AD3" s="66"/>
      <c r="AE3" s="66"/>
      <c r="AF3" s="66"/>
    </row>
    <row r="4" spans="2:32" ht="30.6" customHeight="1" x14ac:dyDescent="0.3">
      <c r="B4" s="66"/>
      <c r="C4" s="70"/>
      <c r="D4" s="71"/>
      <c r="E4" s="226" t="s">
        <v>103</v>
      </c>
      <c r="F4" s="227"/>
      <c r="G4" s="227"/>
      <c r="H4" s="227"/>
      <c r="I4" s="227"/>
      <c r="J4" s="227"/>
      <c r="K4" s="74"/>
      <c r="L4" s="112"/>
      <c r="M4" s="74"/>
      <c r="N4" s="226" t="s">
        <v>113</v>
      </c>
      <c r="O4" s="227"/>
      <c r="P4" s="227"/>
      <c r="Q4" s="227"/>
      <c r="R4" s="227"/>
      <c r="S4" s="227"/>
      <c r="T4" s="227"/>
      <c r="U4" s="227"/>
      <c r="V4" s="227"/>
      <c r="W4" s="75"/>
      <c r="X4" s="176"/>
      <c r="Y4" s="228" t="s">
        <v>152</v>
      </c>
      <c r="Z4" s="228"/>
      <c r="AA4" s="228"/>
      <c r="AB4" s="228"/>
      <c r="AC4" s="66"/>
      <c r="AD4" s="66"/>
      <c r="AE4" s="66"/>
      <c r="AF4" s="66"/>
    </row>
    <row r="5" spans="2:32" ht="60" customHeight="1" x14ac:dyDescent="0.3">
      <c r="B5" s="66"/>
      <c r="C5" s="70"/>
      <c r="D5" s="71"/>
      <c r="E5" s="72"/>
      <c r="F5" s="73"/>
      <c r="G5" s="73"/>
      <c r="H5" s="73"/>
      <c r="I5" s="73"/>
      <c r="J5" s="73"/>
      <c r="K5" s="74"/>
      <c r="L5" s="112"/>
      <c r="M5" s="74"/>
      <c r="N5" s="72"/>
      <c r="O5" s="73"/>
      <c r="P5" s="73"/>
      <c r="Q5" s="73"/>
      <c r="R5" s="214" t="s">
        <v>150</v>
      </c>
      <c r="S5" s="73"/>
      <c r="T5" s="213" t="s">
        <v>99</v>
      </c>
      <c r="U5" s="73"/>
      <c r="V5" s="213" t="s">
        <v>95</v>
      </c>
      <c r="W5" s="75"/>
      <c r="X5" s="175"/>
      <c r="Y5" s="229" t="s">
        <v>101</v>
      </c>
      <c r="Z5" s="230"/>
      <c r="AA5" s="229" t="s">
        <v>102</v>
      </c>
      <c r="AB5" s="230"/>
      <c r="AC5" s="66"/>
      <c r="AD5" s="66"/>
      <c r="AE5" s="66"/>
      <c r="AF5" s="66"/>
    </row>
    <row r="6" spans="2:32" ht="43.2" x14ac:dyDescent="0.3">
      <c r="B6" s="66"/>
      <c r="C6" s="76" t="s">
        <v>96</v>
      </c>
      <c r="D6" s="72" t="s">
        <v>97</v>
      </c>
      <c r="E6" s="72" t="s">
        <v>15</v>
      </c>
      <c r="F6" s="72" t="s">
        <v>16</v>
      </c>
      <c r="G6" s="72" t="s">
        <v>98</v>
      </c>
      <c r="H6" s="72" t="s">
        <v>17</v>
      </c>
      <c r="I6" s="72" t="s">
        <v>99</v>
      </c>
      <c r="J6" s="72" t="s">
        <v>100</v>
      </c>
      <c r="K6" s="72" t="s">
        <v>95</v>
      </c>
      <c r="L6" s="101"/>
      <c r="M6" s="72" t="s">
        <v>15</v>
      </c>
      <c r="N6" s="72" t="s">
        <v>16</v>
      </c>
      <c r="O6" s="72" t="s">
        <v>98</v>
      </c>
      <c r="P6" s="72" t="s">
        <v>17</v>
      </c>
      <c r="Q6" s="72"/>
      <c r="R6" s="72">
        <v>2024</v>
      </c>
      <c r="S6" s="72"/>
      <c r="T6" s="72">
        <v>2024</v>
      </c>
      <c r="U6" s="72"/>
      <c r="V6" s="72">
        <v>2024</v>
      </c>
      <c r="W6" s="66"/>
      <c r="X6" s="174" t="s">
        <v>96</v>
      </c>
      <c r="Y6" s="173">
        <v>2024</v>
      </c>
      <c r="Z6" s="173" t="s">
        <v>154</v>
      </c>
      <c r="AA6" s="173">
        <v>2024</v>
      </c>
      <c r="AB6" s="173" t="s">
        <v>154</v>
      </c>
      <c r="AC6" s="66"/>
      <c r="AD6" s="66"/>
      <c r="AE6" s="66"/>
      <c r="AF6" s="66"/>
    </row>
    <row r="7" spans="2:32" x14ac:dyDescent="0.3">
      <c r="B7" s="66"/>
      <c r="C7" s="77">
        <v>15</v>
      </c>
      <c r="D7" s="78">
        <v>0</v>
      </c>
      <c r="E7" s="79"/>
      <c r="F7" s="67">
        <f>IF($C7&gt;Tariffs!$E$21,(Tariffs!$F$19*Tariffs!$H$19)+(Tariffs!$F$20*Tariffs!$H$20)+(Tariffs!$F$21*Tariffs!$H$21)+(($C7-Tariffs!$E$21)*Tariffs!$H$22),IF(AND($C7&gt;Tariffs!$E$19,$C7&lt;=Tariffs!$E$20),(Tariffs!$F$19*Tariffs!$H$19)+(($C7-Tariffs!$E$19)*Tariffs!$H$20),IF(AND($C7&gt;Tariffs!$E$20,$C7&lt;=Tariffs!$E$21),(Tariffs!$F$19*Tariffs!$H$19)+(Tariffs!$F$20*Tariffs!$H$20)+(($C7-Tariffs!$E$20)*Tariffs!$H$21),$C7*Tariffs!$H$19)))</f>
        <v>2.0012684411273489</v>
      </c>
      <c r="G7" s="80">
        <f>F7+E7</f>
        <v>2.0012684411273489</v>
      </c>
      <c r="H7" s="67">
        <f>$C7*Tariffs!$J$8</f>
        <v>6.7663651873343422</v>
      </c>
      <c r="I7" s="67">
        <f>H7+G7</f>
        <v>8.7676336284616916</v>
      </c>
      <c r="J7" s="67">
        <f>I7*Tariffs!$I$8</f>
        <v>1.534335884980796</v>
      </c>
      <c r="K7" s="81">
        <f>J7+I7</f>
        <v>10.301969513442488</v>
      </c>
      <c r="L7" s="81"/>
      <c r="M7" s="79"/>
      <c r="N7" s="67">
        <f>F7</f>
        <v>2.0012684411273489</v>
      </c>
      <c r="O7" s="80">
        <f>N7+M7</f>
        <v>2.0012684411273489</v>
      </c>
      <c r="P7" s="67">
        <f>$C7*Tariffs!$J$8</f>
        <v>6.7663651873343422</v>
      </c>
      <c r="Q7" s="67"/>
      <c r="R7" s="67">
        <f>$C7*Tariffs!K$18</f>
        <v>2.6549999999999998E-3</v>
      </c>
      <c r="S7" s="67"/>
      <c r="T7" s="67">
        <f t="shared" ref="T7:T28" si="0">$P7+$O7+R7</f>
        <v>8.7702886284616923</v>
      </c>
      <c r="U7" s="67"/>
      <c r="V7" s="67">
        <f>T7*(1+Tariffs!$I$8)</f>
        <v>10.305089138442488</v>
      </c>
      <c r="W7" s="82"/>
      <c r="X7" s="83">
        <f t="shared" ref="X7:X28" si="1">C7</f>
        <v>15</v>
      </c>
      <c r="Y7" s="67">
        <f t="shared" ref="Y7:Y28" si="2">V7-$K7</f>
        <v>3.1196250000000703E-3</v>
      </c>
      <c r="Z7" s="80">
        <f t="shared" ref="Z7:Z28" si="3">SUM(Y7:Y7)</f>
        <v>3.1196250000000703E-3</v>
      </c>
      <c r="AA7" s="279">
        <f t="shared" ref="AA7:AA28" si="4">V7/$K7-1</f>
        <v>3.0281831022005434E-4</v>
      </c>
      <c r="AB7" s="277">
        <f t="shared" ref="AB7:AB28" si="5">SUM(AA7:AA7)</f>
        <v>3.0281831022005434E-4</v>
      </c>
      <c r="AC7" s="66"/>
      <c r="AD7" s="66"/>
      <c r="AE7" s="66"/>
      <c r="AF7" s="66"/>
    </row>
    <row r="8" spans="2:32" x14ac:dyDescent="0.3">
      <c r="B8" s="66"/>
      <c r="C8" s="84">
        <v>50</v>
      </c>
      <c r="D8" s="85">
        <v>2.2026431718061675E-2</v>
      </c>
      <c r="E8" s="86"/>
      <c r="F8" s="88">
        <f>IF($C8&gt;Tariffs!$E$21,(Tariffs!$F$19*Tariffs!$H$19)+(Tariffs!$F$20*Tariffs!$H$20)+(Tariffs!$F$21*Tariffs!$H$21)+(($C8-Tariffs!$E$21)*Tariffs!$H$22),IF(AND($C8&gt;Tariffs!$E$19,$C8&lt;=Tariffs!$E$20),(Tariffs!$F$19*Tariffs!$H$19)+(($C8-Tariffs!$E$19)*Tariffs!$H$20),IF(AND($C8&gt;Tariffs!$E$20,$C8&lt;=Tariffs!$E$21),(Tariffs!$F$19*Tariffs!$H$19)+(Tariffs!$F$20*Tariffs!$H$20)+(($C8-Tariffs!$E$20)*Tariffs!$H$21),$C8*Tariffs!$H$19)))</f>
        <v>6.6708948037578288</v>
      </c>
      <c r="G8" s="87">
        <f t="shared" ref="G8:G28" si="6">F8+E8</f>
        <v>6.6708948037578288</v>
      </c>
      <c r="H8" s="88">
        <f>$C8*Tariffs!$J$8</f>
        <v>22.55455062444781</v>
      </c>
      <c r="I8" s="88">
        <f t="shared" ref="I8:I28" si="7">H8+G8</f>
        <v>29.225445428205639</v>
      </c>
      <c r="J8" s="88">
        <f>I8*Tariffs!$I$8</f>
        <v>5.1144529499359868</v>
      </c>
      <c r="K8" s="89">
        <f t="shared" ref="K8:K28" si="8">J8+I8</f>
        <v>34.339898378141626</v>
      </c>
      <c r="L8" s="81"/>
      <c r="M8" s="86"/>
      <c r="N8" s="88">
        <f t="shared" ref="N8:N28" si="9">F8</f>
        <v>6.6708948037578288</v>
      </c>
      <c r="O8" s="87">
        <f t="shared" ref="O8:O28" si="10">N8+M8</f>
        <v>6.6708948037578288</v>
      </c>
      <c r="P8" s="88">
        <f>$C8*Tariffs!$J$8</f>
        <v>22.55455062444781</v>
      </c>
      <c r="Q8" s="67"/>
      <c r="R8" s="88">
        <f>$C8*Tariffs!K$18</f>
        <v>8.8500000000000002E-3</v>
      </c>
      <c r="S8" s="67"/>
      <c r="T8" s="88">
        <f t="shared" si="0"/>
        <v>29.234295428205638</v>
      </c>
      <c r="U8" s="67"/>
      <c r="V8" s="88">
        <f>T8*(1+Tariffs!$I$8)</f>
        <v>34.350297128141627</v>
      </c>
      <c r="W8" s="82"/>
      <c r="X8" s="90">
        <f t="shared" si="1"/>
        <v>50</v>
      </c>
      <c r="Y8" s="88">
        <f t="shared" si="2"/>
        <v>1.0398750000000234E-2</v>
      </c>
      <c r="Z8" s="87">
        <f t="shared" si="3"/>
        <v>1.0398750000000234E-2</v>
      </c>
      <c r="AA8" s="280">
        <f t="shared" si="4"/>
        <v>3.0281831022005434E-4</v>
      </c>
      <c r="AB8" s="281">
        <f t="shared" si="5"/>
        <v>3.0281831022005434E-4</v>
      </c>
      <c r="AC8" s="66"/>
      <c r="AD8" s="66"/>
      <c r="AE8" s="66"/>
      <c r="AF8" s="66"/>
    </row>
    <row r="9" spans="2:32" x14ac:dyDescent="0.3">
      <c r="B9" s="66"/>
      <c r="C9" s="77">
        <v>100</v>
      </c>
      <c r="D9" s="78">
        <v>7.312775330396476E-2</v>
      </c>
      <c r="E9" s="79"/>
      <c r="F9" s="67">
        <f>IF($C9&gt;Tariffs!$E$21,(Tariffs!$F$19*Tariffs!$H$19)+(Tariffs!$F$20*Tariffs!$H$20)+(Tariffs!$F$21*Tariffs!$H$21)+(($C9-Tariffs!$E$21)*Tariffs!$H$22),IF(AND($C9&gt;Tariffs!$E$19,$C9&lt;=Tariffs!$E$20),(Tariffs!$F$19*Tariffs!$H$19)+(($C9-Tariffs!$E$19)*Tariffs!$H$20),IF(AND($C9&gt;Tariffs!$E$20,$C9&lt;=Tariffs!$E$21),(Tariffs!$F$19*Tariffs!$H$19)+(Tariffs!$F$20*Tariffs!$H$20)+(($C9-Tariffs!$E$20)*Tariffs!$H$21),$C9*Tariffs!$H$19)))</f>
        <v>13.341789607515658</v>
      </c>
      <c r="G9" s="80">
        <f t="shared" si="6"/>
        <v>13.341789607515658</v>
      </c>
      <c r="H9" s="67">
        <f>$C9*Tariffs!$J$8</f>
        <v>45.10910124889562</v>
      </c>
      <c r="I9" s="67">
        <f t="shared" si="7"/>
        <v>58.450890856411277</v>
      </c>
      <c r="J9" s="67">
        <f>I9*Tariffs!$I$8</f>
        <v>10.228905899871974</v>
      </c>
      <c r="K9" s="81">
        <f t="shared" si="8"/>
        <v>68.679796756283253</v>
      </c>
      <c r="L9" s="81"/>
      <c r="M9" s="79"/>
      <c r="N9" s="67">
        <f t="shared" si="9"/>
        <v>13.341789607515658</v>
      </c>
      <c r="O9" s="80">
        <f t="shared" si="10"/>
        <v>13.341789607515658</v>
      </c>
      <c r="P9" s="67">
        <f>$C9*Tariffs!$J$8</f>
        <v>45.10910124889562</v>
      </c>
      <c r="Q9" s="67"/>
      <c r="R9" s="67">
        <f>$C9*Tariffs!K$18</f>
        <v>1.77E-2</v>
      </c>
      <c r="S9" s="67"/>
      <c r="T9" s="67">
        <f t="shared" si="0"/>
        <v>58.468590856411275</v>
      </c>
      <c r="U9" s="67"/>
      <c r="V9" s="67">
        <f>T9*(1+Tariffs!$I$8)</f>
        <v>68.700594256283253</v>
      </c>
      <c r="W9" s="82"/>
      <c r="X9" s="83">
        <f t="shared" si="1"/>
        <v>100</v>
      </c>
      <c r="Y9" s="67">
        <f t="shared" si="2"/>
        <v>2.0797500000000468E-2</v>
      </c>
      <c r="Z9" s="80">
        <f t="shared" si="3"/>
        <v>2.0797500000000468E-2</v>
      </c>
      <c r="AA9" s="279">
        <f t="shared" si="4"/>
        <v>3.0281831022005434E-4</v>
      </c>
      <c r="AB9" s="277">
        <f t="shared" si="5"/>
        <v>3.0281831022005434E-4</v>
      </c>
      <c r="AC9" s="66"/>
      <c r="AD9" s="66"/>
      <c r="AE9" s="66"/>
      <c r="AF9" s="66"/>
    </row>
    <row r="10" spans="2:32" x14ac:dyDescent="0.3">
      <c r="B10" s="66"/>
      <c r="C10" s="84">
        <v>150</v>
      </c>
      <c r="D10" s="85">
        <v>0.15964757709251101</v>
      </c>
      <c r="E10" s="86"/>
      <c r="F10" s="88">
        <f>IF($C10&gt;Tariffs!$E$21,(Tariffs!$F$19*Tariffs!$H$19)+(Tariffs!$F$20*Tariffs!$H$20)+(Tariffs!$F$21*Tariffs!$H$21)+(($C10-Tariffs!$E$21)*Tariffs!$H$22),IF(AND($C10&gt;Tariffs!$E$19,$C10&lt;=Tariffs!$E$20),(Tariffs!$F$19*Tariffs!$H$19)+(($C10-Tariffs!$E$19)*Tariffs!$H$20),IF(AND($C10&gt;Tariffs!$E$20,$C10&lt;=Tariffs!$E$21),(Tariffs!$F$19*Tariffs!$H$19)+(Tariffs!$F$20*Tariffs!$H$20)+(($C10-Tariffs!$E$20)*Tariffs!$H$21),$C10*Tariffs!$H$19)))</f>
        <v>20.012684411273487</v>
      </c>
      <c r="G10" s="87">
        <f t="shared" si="6"/>
        <v>20.012684411273487</v>
      </c>
      <c r="H10" s="88">
        <f>$C10*Tariffs!$J$8</f>
        <v>67.663651873343426</v>
      </c>
      <c r="I10" s="88">
        <f t="shared" si="7"/>
        <v>87.676336284616909</v>
      </c>
      <c r="J10" s="88">
        <f>I10*Tariffs!$I$8</f>
        <v>15.343358849807958</v>
      </c>
      <c r="K10" s="89">
        <f t="shared" si="8"/>
        <v>103.01969513442486</v>
      </c>
      <c r="L10" s="81"/>
      <c r="M10" s="86"/>
      <c r="N10" s="88">
        <f t="shared" si="9"/>
        <v>20.012684411273487</v>
      </c>
      <c r="O10" s="87">
        <f t="shared" si="10"/>
        <v>20.012684411273487</v>
      </c>
      <c r="P10" s="88">
        <f>$C10*Tariffs!$J$8</f>
        <v>67.663651873343426</v>
      </c>
      <c r="Q10" s="67"/>
      <c r="R10" s="88">
        <f>$C10*Tariffs!K$18</f>
        <v>2.6549999999999997E-2</v>
      </c>
      <c r="S10" s="67"/>
      <c r="T10" s="88">
        <f t="shared" si="0"/>
        <v>87.702886284616909</v>
      </c>
      <c r="U10" s="67"/>
      <c r="V10" s="88">
        <f>T10*(1+Tariffs!$I$8)</f>
        <v>103.05089138442487</v>
      </c>
      <c r="W10" s="82"/>
      <c r="X10" s="90">
        <f t="shared" si="1"/>
        <v>150</v>
      </c>
      <c r="Y10" s="88">
        <f t="shared" si="2"/>
        <v>3.1196250000007808E-2</v>
      </c>
      <c r="Z10" s="87">
        <f t="shared" si="3"/>
        <v>3.1196250000007808E-2</v>
      </c>
      <c r="AA10" s="280">
        <f t="shared" si="4"/>
        <v>3.0281831022027639E-4</v>
      </c>
      <c r="AB10" s="281">
        <f t="shared" si="5"/>
        <v>3.0281831022027639E-4</v>
      </c>
      <c r="AC10" s="66"/>
      <c r="AD10" s="66"/>
      <c r="AE10" s="66"/>
      <c r="AF10" s="66"/>
    </row>
    <row r="11" spans="2:32" x14ac:dyDescent="0.3">
      <c r="B11" s="66"/>
      <c r="C11" s="77">
        <v>200</v>
      </c>
      <c r="D11" s="78">
        <v>0.2729515418502203</v>
      </c>
      <c r="E11" s="79"/>
      <c r="F11" s="67">
        <f>IF($C11&gt;Tariffs!$E$21,(Tariffs!$F$19*Tariffs!$H$19)+(Tariffs!$F$20*Tariffs!$H$20)+(Tariffs!$F$21*Tariffs!$H$21)+(($C11-Tariffs!$E$21)*Tariffs!$H$22),IF(AND($C11&gt;Tariffs!$E$19,$C11&lt;=Tariffs!$E$20),(Tariffs!$F$19*Tariffs!$H$19)+(($C11-Tariffs!$E$19)*Tariffs!$H$20),IF(AND($C11&gt;Tariffs!$E$20,$C11&lt;=Tariffs!$E$21),(Tariffs!$F$19*Tariffs!$H$19)+(Tariffs!$F$20*Tariffs!$H$20)+(($C11-Tariffs!$E$20)*Tariffs!$H$21),$C11*Tariffs!$H$19)))</f>
        <v>27.886684411273485</v>
      </c>
      <c r="G11" s="80">
        <f t="shared" si="6"/>
        <v>27.886684411273485</v>
      </c>
      <c r="H11" s="67">
        <f>$C11*Tariffs!$J$8</f>
        <v>90.218202497791239</v>
      </c>
      <c r="I11" s="67">
        <f t="shared" si="7"/>
        <v>118.10488690906473</v>
      </c>
      <c r="J11" s="67">
        <f>I11*Tariffs!$I$8</f>
        <v>20.668355209086325</v>
      </c>
      <c r="K11" s="81">
        <f t="shared" si="8"/>
        <v>138.77324211815105</v>
      </c>
      <c r="L11" s="81"/>
      <c r="M11" s="79"/>
      <c r="N11" s="67">
        <f t="shared" si="9"/>
        <v>27.886684411273485</v>
      </c>
      <c r="O11" s="80">
        <f t="shared" si="10"/>
        <v>27.886684411273485</v>
      </c>
      <c r="P11" s="67">
        <f>$C11*Tariffs!$J$8</f>
        <v>90.218202497791239</v>
      </c>
      <c r="Q11" s="67"/>
      <c r="R11" s="67">
        <f>$C11*Tariffs!K$18</f>
        <v>3.5400000000000001E-2</v>
      </c>
      <c r="S11" s="67"/>
      <c r="T11" s="67">
        <f t="shared" si="0"/>
        <v>118.14028690906473</v>
      </c>
      <c r="U11" s="67"/>
      <c r="V11" s="67">
        <f>T11*(1+Tariffs!$I$8)</f>
        <v>138.81483711815105</v>
      </c>
      <c r="W11" s="82"/>
      <c r="X11" s="83">
        <f t="shared" si="1"/>
        <v>200</v>
      </c>
      <c r="Y11" s="67">
        <f t="shared" si="2"/>
        <v>4.1595000000000937E-2</v>
      </c>
      <c r="Z11" s="80">
        <f t="shared" si="3"/>
        <v>4.1595000000000937E-2</v>
      </c>
      <c r="AA11" s="279">
        <f t="shared" si="4"/>
        <v>2.9973357518442434E-4</v>
      </c>
      <c r="AB11" s="277">
        <f t="shared" si="5"/>
        <v>2.9973357518442434E-4</v>
      </c>
      <c r="AC11" s="66"/>
      <c r="AD11" s="66"/>
      <c r="AE11" s="66"/>
      <c r="AF11" s="66"/>
    </row>
    <row r="12" spans="2:32" x14ac:dyDescent="0.3">
      <c r="B12" s="66"/>
      <c r="C12" s="91">
        <v>250</v>
      </c>
      <c r="D12" s="92">
        <v>0.39859030837004406</v>
      </c>
      <c r="E12" s="93"/>
      <c r="F12" s="95">
        <f>IF($C12&gt;Tariffs!$E$21,(Tariffs!$F$19*Tariffs!$H$19)+(Tariffs!$F$20*Tariffs!$H$20)+(Tariffs!$F$21*Tariffs!$H$21)+(($C12-Tariffs!$E$21)*Tariffs!$H$22),IF(AND($C12&gt;Tariffs!$E$19,$C12&lt;=Tariffs!$E$20),(Tariffs!$F$19*Tariffs!$H$19)+(($C12-Tariffs!$E$19)*Tariffs!$H$20),IF(AND($C12&gt;Tariffs!$E$20,$C12&lt;=Tariffs!$E$21),(Tariffs!$F$19*Tariffs!$H$19)+(Tariffs!$F$20*Tariffs!$H$20)+(($C12-Tariffs!$E$20)*Tariffs!$H$21),$C12*Tariffs!$H$19)))</f>
        <v>35.760684411273488</v>
      </c>
      <c r="G12" s="94">
        <f t="shared" si="6"/>
        <v>35.760684411273488</v>
      </c>
      <c r="H12" s="95">
        <f>$C12*Tariffs!$J$8</f>
        <v>112.77275312223904</v>
      </c>
      <c r="I12" s="95">
        <f t="shared" si="7"/>
        <v>148.53343753351254</v>
      </c>
      <c r="J12" s="95">
        <f>I12*Tariffs!$I$8</f>
        <v>25.993351568364695</v>
      </c>
      <c r="K12" s="96">
        <f t="shared" si="8"/>
        <v>174.52678910187723</v>
      </c>
      <c r="L12" s="113"/>
      <c r="M12" s="93"/>
      <c r="N12" s="95">
        <f t="shared" si="9"/>
        <v>35.760684411273488</v>
      </c>
      <c r="O12" s="94">
        <f t="shared" si="10"/>
        <v>35.760684411273488</v>
      </c>
      <c r="P12" s="95">
        <f>$C12*Tariffs!$J$8</f>
        <v>112.77275312223904</v>
      </c>
      <c r="Q12" s="171"/>
      <c r="R12" s="95">
        <f>$C12*Tariffs!K$18</f>
        <v>4.4249999999999998E-2</v>
      </c>
      <c r="S12" s="171"/>
      <c r="T12" s="95">
        <f t="shared" si="0"/>
        <v>148.57768753351255</v>
      </c>
      <c r="U12" s="67"/>
      <c r="V12" s="95">
        <f>T12*(1+Tariffs!$I$8)</f>
        <v>174.57878285187724</v>
      </c>
      <c r="W12" s="82"/>
      <c r="X12" s="172">
        <f t="shared" si="1"/>
        <v>250</v>
      </c>
      <c r="Y12" s="95">
        <f t="shared" si="2"/>
        <v>5.1993750000008276E-2</v>
      </c>
      <c r="Z12" s="94">
        <f t="shared" si="3"/>
        <v>5.1993750000008276E-2</v>
      </c>
      <c r="AA12" s="282">
        <f t="shared" si="4"/>
        <v>2.9791271739765257E-4</v>
      </c>
      <c r="AB12" s="283">
        <f t="shared" si="5"/>
        <v>2.9791271739765257E-4</v>
      </c>
      <c r="AC12" s="66"/>
      <c r="AD12" s="66"/>
      <c r="AE12" s="66"/>
      <c r="AF12" s="66"/>
    </row>
    <row r="13" spans="2:32" x14ac:dyDescent="0.3">
      <c r="B13" s="66"/>
      <c r="C13" s="77">
        <v>300</v>
      </c>
      <c r="D13" s="78">
        <v>0.52792951541850219</v>
      </c>
      <c r="E13" s="79"/>
      <c r="F13" s="67">
        <f>IF($C13&gt;Tariffs!$E$21,(Tariffs!$F$19*Tariffs!$H$19)+(Tariffs!$F$20*Tariffs!$H$20)+(Tariffs!$F$21*Tariffs!$H$21)+(($C13-Tariffs!$E$21)*Tariffs!$H$22),IF(AND($C13&gt;Tariffs!$E$19,$C13&lt;=Tariffs!$E$20),(Tariffs!$F$19*Tariffs!$H$19)+(($C13-Tariffs!$E$19)*Tariffs!$H$20),IF(AND($C13&gt;Tariffs!$E$20,$C13&lt;=Tariffs!$E$21),(Tariffs!$F$19*Tariffs!$H$19)+(Tariffs!$F$20*Tariffs!$H$20)+(($C13-Tariffs!$E$20)*Tariffs!$H$21),$C13*Tariffs!$H$19)))</f>
        <v>43.634684411273483</v>
      </c>
      <c r="G13" s="80">
        <f t="shared" si="6"/>
        <v>43.634684411273483</v>
      </c>
      <c r="H13" s="67">
        <f>$C13*Tariffs!$J$8</f>
        <v>135.32730374668685</v>
      </c>
      <c r="I13" s="67">
        <f t="shared" si="7"/>
        <v>178.96198815796032</v>
      </c>
      <c r="J13" s="67">
        <f>I13*Tariffs!$I$8</f>
        <v>31.318347927643053</v>
      </c>
      <c r="K13" s="81">
        <f t="shared" si="8"/>
        <v>210.28033608560338</v>
      </c>
      <c r="L13" s="81"/>
      <c r="M13" s="79"/>
      <c r="N13" s="67">
        <f t="shared" si="9"/>
        <v>43.634684411273483</v>
      </c>
      <c r="O13" s="80">
        <f t="shared" si="10"/>
        <v>43.634684411273483</v>
      </c>
      <c r="P13" s="67">
        <f>$C13*Tariffs!$J$8</f>
        <v>135.32730374668685</v>
      </c>
      <c r="Q13" s="67"/>
      <c r="R13" s="67">
        <f>$C13*Tariffs!K$18</f>
        <v>5.3099999999999994E-2</v>
      </c>
      <c r="S13" s="67"/>
      <c r="T13" s="67">
        <f t="shared" si="0"/>
        <v>179.01508815796032</v>
      </c>
      <c r="U13" s="67"/>
      <c r="V13" s="67">
        <f>T13*(1+Tariffs!$I$8)</f>
        <v>210.3427285856034</v>
      </c>
      <c r="W13" s="82"/>
      <c r="X13" s="83">
        <f t="shared" si="1"/>
        <v>300</v>
      </c>
      <c r="Y13" s="67">
        <f t="shared" si="2"/>
        <v>6.2392500000015616E-2</v>
      </c>
      <c r="Z13" s="80">
        <f t="shared" si="3"/>
        <v>6.2392500000015616E-2</v>
      </c>
      <c r="AA13" s="279">
        <f t="shared" si="4"/>
        <v>2.9671105326101177E-4</v>
      </c>
      <c r="AB13" s="277">
        <f t="shared" si="5"/>
        <v>2.9671105326101177E-4</v>
      </c>
      <c r="AC13" s="66"/>
      <c r="AD13" s="66"/>
      <c r="AE13" s="66"/>
      <c r="AF13" s="66"/>
    </row>
    <row r="14" spans="2:32" x14ac:dyDescent="0.3">
      <c r="B14" s="66"/>
      <c r="C14" s="91">
        <v>350</v>
      </c>
      <c r="D14" s="92">
        <v>0.63753303964757713</v>
      </c>
      <c r="E14" s="93"/>
      <c r="F14" s="95">
        <f>IF($C14&gt;Tariffs!$E$21,(Tariffs!$F$19*Tariffs!$H$19)+(Tariffs!$F$20*Tariffs!$H$20)+(Tariffs!$F$21*Tariffs!$H$21)+(($C14-Tariffs!$E$21)*Tariffs!$H$22),IF(AND($C14&gt;Tariffs!$E$19,$C14&lt;=Tariffs!$E$20),(Tariffs!$F$19*Tariffs!$H$19)+(($C14-Tariffs!$E$19)*Tariffs!$H$20),IF(AND($C14&gt;Tariffs!$E$20,$C14&lt;=Tariffs!$E$21),(Tariffs!$F$19*Tariffs!$H$19)+(Tariffs!$F$20*Tariffs!$H$20)+(($C14-Tariffs!$E$20)*Tariffs!$H$21),$C14*Tariffs!$H$19)))</f>
        <v>51.508684411273492</v>
      </c>
      <c r="G14" s="94">
        <f t="shared" si="6"/>
        <v>51.508684411273492</v>
      </c>
      <c r="H14" s="95">
        <f>$C14*Tariffs!$J$8</f>
        <v>157.88185437113466</v>
      </c>
      <c r="I14" s="95">
        <f t="shared" si="7"/>
        <v>209.39053878240816</v>
      </c>
      <c r="J14" s="95">
        <f>I14*Tariffs!$I$8</f>
        <v>36.643344286921426</v>
      </c>
      <c r="K14" s="96">
        <f t="shared" si="8"/>
        <v>246.03388306932959</v>
      </c>
      <c r="L14" s="113"/>
      <c r="M14" s="93"/>
      <c r="N14" s="95">
        <f t="shared" si="9"/>
        <v>51.508684411273492</v>
      </c>
      <c r="O14" s="94">
        <f t="shared" si="10"/>
        <v>51.508684411273492</v>
      </c>
      <c r="P14" s="95">
        <f>$C14*Tariffs!$J$8</f>
        <v>157.88185437113466</v>
      </c>
      <c r="Q14" s="171"/>
      <c r="R14" s="95">
        <f>$C14*Tariffs!K$18</f>
        <v>6.1949999999999998E-2</v>
      </c>
      <c r="S14" s="171"/>
      <c r="T14" s="95">
        <f t="shared" si="0"/>
        <v>209.45248878240815</v>
      </c>
      <c r="U14" s="171"/>
      <c r="V14" s="95">
        <f>T14*(1+Tariffs!$I$8)</f>
        <v>246.10667431932958</v>
      </c>
      <c r="W14" s="178"/>
      <c r="X14" s="179">
        <f t="shared" si="1"/>
        <v>350</v>
      </c>
      <c r="Y14" s="95">
        <f t="shared" si="2"/>
        <v>7.2791249999994534E-2</v>
      </c>
      <c r="Z14" s="94">
        <f t="shared" si="3"/>
        <v>7.2791249999994534E-2</v>
      </c>
      <c r="AA14" s="282">
        <f t="shared" si="4"/>
        <v>2.9585863984227245E-4</v>
      </c>
      <c r="AB14" s="283">
        <f t="shared" si="5"/>
        <v>2.9585863984227245E-4</v>
      </c>
      <c r="AC14" s="66"/>
      <c r="AD14" s="66"/>
      <c r="AE14" s="66"/>
      <c r="AF14" s="66"/>
    </row>
    <row r="15" spans="2:32" x14ac:dyDescent="0.3">
      <c r="B15" s="66"/>
      <c r="C15" s="77">
        <v>400</v>
      </c>
      <c r="D15" s="78">
        <v>0.7222907488986785</v>
      </c>
      <c r="E15" s="79"/>
      <c r="F15" s="67">
        <f>IF($C15&gt;Tariffs!$E$21,(Tariffs!$F$19*Tariffs!$H$19)+(Tariffs!$F$20*Tariffs!$H$20)+(Tariffs!$F$21*Tariffs!$H$21)+(($C15-Tariffs!$E$21)*Tariffs!$H$22),IF(AND($C15&gt;Tariffs!$E$19,$C15&lt;=Tariffs!$E$20),(Tariffs!$F$19*Tariffs!$H$19)+(($C15-Tariffs!$E$19)*Tariffs!$H$20),IF(AND($C15&gt;Tariffs!$E$20,$C15&lt;=Tariffs!$E$21),(Tariffs!$F$19*Tariffs!$H$19)+(Tariffs!$F$20*Tariffs!$H$20)+(($C15-Tariffs!$E$20)*Tariffs!$H$21),$C15*Tariffs!$H$19)))</f>
        <v>59.382684411273488</v>
      </c>
      <c r="G15" s="80">
        <f t="shared" si="6"/>
        <v>59.382684411273488</v>
      </c>
      <c r="H15" s="67">
        <f>$C15*Tariffs!$J$8</f>
        <v>180.43640499558248</v>
      </c>
      <c r="I15" s="67">
        <f t="shared" si="7"/>
        <v>239.81908940685597</v>
      </c>
      <c r="J15" s="67">
        <f>I15*Tariffs!$I$8</f>
        <v>41.968340646199792</v>
      </c>
      <c r="K15" s="81">
        <f t="shared" si="8"/>
        <v>281.78743005305574</v>
      </c>
      <c r="L15" s="81"/>
      <c r="M15" s="79"/>
      <c r="N15" s="67">
        <f t="shared" si="9"/>
        <v>59.382684411273488</v>
      </c>
      <c r="O15" s="80">
        <f t="shared" si="10"/>
        <v>59.382684411273488</v>
      </c>
      <c r="P15" s="67">
        <f>$C15*Tariffs!$J$8</f>
        <v>180.43640499558248</v>
      </c>
      <c r="Q15" s="67"/>
      <c r="R15" s="67">
        <f>$C15*Tariffs!K$18</f>
        <v>7.0800000000000002E-2</v>
      </c>
      <c r="S15" s="67"/>
      <c r="T15" s="67">
        <f t="shared" si="0"/>
        <v>239.88988940685596</v>
      </c>
      <c r="U15" s="67"/>
      <c r="V15" s="67">
        <f>T15*(1+Tariffs!$I$8)</f>
        <v>281.87062005305575</v>
      </c>
      <c r="W15" s="82"/>
      <c r="X15" s="83">
        <f t="shared" si="1"/>
        <v>400</v>
      </c>
      <c r="Y15" s="67">
        <f t="shared" si="2"/>
        <v>8.3190000000001874E-2</v>
      </c>
      <c r="Z15" s="80">
        <f t="shared" si="3"/>
        <v>8.3190000000001874E-2</v>
      </c>
      <c r="AA15" s="279">
        <f t="shared" si="4"/>
        <v>2.952225370178585E-4</v>
      </c>
      <c r="AB15" s="277">
        <f t="shared" si="5"/>
        <v>2.952225370178585E-4</v>
      </c>
      <c r="AC15" s="66"/>
      <c r="AD15" s="66"/>
      <c r="AE15" s="66"/>
      <c r="AF15" s="66"/>
    </row>
    <row r="16" spans="2:32" x14ac:dyDescent="0.3">
      <c r="B16" s="66"/>
      <c r="C16" s="84">
        <v>450</v>
      </c>
      <c r="D16" s="85">
        <v>0.7906607929515419</v>
      </c>
      <c r="E16" s="86"/>
      <c r="F16" s="88">
        <f>IF($C16&gt;Tariffs!$E$21,(Tariffs!$F$19*Tariffs!$H$19)+(Tariffs!$F$20*Tariffs!$H$20)+(Tariffs!$F$21*Tariffs!$H$21)+(($C16-Tariffs!$E$21)*Tariffs!$H$22),IF(AND($C16&gt;Tariffs!$E$19,$C16&lt;=Tariffs!$E$20),(Tariffs!$F$19*Tariffs!$H$19)+(($C16-Tariffs!$E$19)*Tariffs!$H$20),IF(AND($C16&gt;Tariffs!$E$20,$C16&lt;=Tariffs!$E$21),(Tariffs!$F$19*Tariffs!$H$19)+(Tariffs!$F$20*Tariffs!$H$20)+(($C16-Tariffs!$E$20)*Tariffs!$H$21),$C16*Tariffs!$H$19)))</f>
        <v>67.256684411273483</v>
      </c>
      <c r="G16" s="87">
        <f t="shared" si="6"/>
        <v>67.256684411273483</v>
      </c>
      <c r="H16" s="88">
        <f>$C16*Tariffs!$J$8</f>
        <v>202.99095562003026</v>
      </c>
      <c r="I16" s="88">
        <f t="shared" si="7"/>
        <v>270.24764003130372</v>
      </c>
      <c r="J16" s="88">
        <f>I16*Tariffs!$I$8</f>
        <v>47.293337005478151</v>
      </c>
      <c r="K16" s="89">
        <f t="shared" si="8"/>
        <v>317.5409770367819</v>
      </c>
      <c r="L16" s="81"/>
      <c r="M16" s="86"/>
      <c r="N16" s="88">
        <f t="shared" si="9"/>
        <v>67.256684411273483</v>
      </c>
      <c r="O16" s="87">
        <f t="shared" si="10"/>
        <v>67.256684411273483</v>
      </c>
      <c r="P16" s="88">
        <f>$C16*Tariffs!$J$8</f>
        <v>202.99095562003026</v>
      </c>
      <c r="Q16" s="67"/>
      <c r="R16" s="88">
        <f>$C16*Tariffs!K$18</f>
        <v>7.9649999999999999E-2</v>
      </c>
      <c r="S16" s="67"/>
      <c r="T16" s="88">
        <f t="shared" si="0"/>
        <v>270.32729003130373</v>
      </c>
      <c r="U16" s="67"/>
      <c r="V16" s="88">
        <f>T16*(1+Tariffs!$I$8)</f>
        <v>317.63456578678188</v>
      </c>
      <c r="W16" s="82"/>
      <c r="X16" s="90">
        <f t="shared" si="1"/>
        <v>450</v>
      </c>
      <c r="Y16" s="88">
        <f t="shared" si="2"/>
        <v>9.3588749999980791E-2</v>
      </c>
      <c r="Z16" s="87">
        <f t="shared" si="3"/>
        <v>9.3588749999980791E-2</v>
      </c>
      <c r="AA16" s="280">
        <f t="shared" si="4"/>
        <v>2.9472967827115504E-4</v>
      </c>
      <c r="AB16" s="281">
        <f t="shared" si="5"/>
        <v>2.9472967827115504E-4</v>
      </c>
      <c r="AC16" s="66"/>
      <c r="AD16" s="66"/>
      <c r="AE16" s="66"/>
      <c r="AF16" s="66"/>
    </row>
    <row r="17" spans="2:32" x14ac:dyDescent="0.3">
      <c r="B17" s="66"/>
      <c r="C17" s="77">
        <v>500</v>
      </c>
      <c r="D17" s="78">
        <v>0.84052863436123348</v>
      </c>
      <c r="E17" s="79"/>
      <c r="F17" s="67">
        <f>IF($C17&gt;Tariffs!$E$21,(Tariffs!$F$19*Tariffs!$H$19)+(Tariffs!$F$20*Tariffs!$H$20)+(Tariffs!$F$21*Tariffs!$H$21)+(($C17-Tariffs!$E$21)*Tariffs!$H$22),IF(AND($C17&gt;Tariffs!$E$19,$C17&lt;=Tariffs!$E$20),(Tariffs!$F$19*Tariffs!$H$19)+(($C17-Tariffs!$E$19)*Tariffs!$H$20),IF(AND($C17&gt;Tariffs!$E$20,$C17&lt;=Tariffs!$E$21),(Tariffs!$F$19*Tariffs!$H$19)+(Tariffs!$F$20*Tariffs!$H$20)+(($C17-Tariffs!$E$20)*Tariffs!$H$21),$C17*Tariffs!$H$19)))</f>
        <v>75.130684411273492</v>
      </c>
      <c r="G17" s="80">
        <f t="shared" si="6"/>
        <v>75.130684411273492</v>
      </c>
      <c r="H17" s="67">
        <f>$C17*Tariffs!$J$8</f>
        <v>225.54550624447808</v>
      </c>
      <c r="I17" s="67">
        <f t="shared" si="7"/>
        <v>300.67619065575155</v>
      </c>
      <c r="J17" s="67">
        <f>I17*Tariffs!$I$8</f>
        <v>52.618333364756516</v>
      </c>
      <c r="K17" s="81">
        <f t="shared" si="8"/>
        <v>353.29452402050805</v>
      </c>
      <c r="L17" s="81"/>
      <c r="M17" s="79"/>
      <c r="N17" s="67">
        <f t="shared" si="9"/>
        <v>75.130684411273492</v>
      </c>
      <c r="O17" s="80">
        <f t="shared" si="10"/>
        <v>75.130684411273492</v>
      </c>
      <c r="P17" s="67">
        <f>$C17*Tariffs!$J$8</f>
        <v>225.54550624447808</v>
      </c>
      <c r="Q17" s="67"/>
      <c r="R17" s="67">
        <f>$C17*Tariffs!K$18</f>
        <v>8.8499999999999995E-2</v>
      </c>
      <c r="S17" s="67"/>
      <c r="T17" s="67">
        <f t="shared" si="0"/>
        <v>300.76469065575156</v>
      </c>
      <c r="U17" s="67"/>
      <c r="V17" s="67">
        <f>T17*(1+Tariffs!$I$8)</f>
        <v>353.39851152050812</v>
      </c>
      <c r="W17" s="82"/>
      <c r="X17" s="83">
        <f t="shared" si="1"/>
        <v>500</v>
      </c>
      <c r="Y17" s="67">
        <f t="shared" si="2"/>
        <v>0.1039875000000734</v>
      </c>
      <c r="Z17" s="80">
        <f t="shared" si="3"/>
        <v>0.1039875000000734</v>
      </c>
      <c r="AA17" s="279">
        <f t="shared" si="4"/>
        <v>2.9433657452915263E-4</v>
      </c>
      <c r="AB17" s="277">
        <f t="shared" si="5"/>
        <v>2.9433657452915263E-4</v>
      </c>
      <c r="AC17" s="66"/>
      <c r="AD17" s="66"/>
      <c r="AE17" s="66"/>
      <c r="AF17" s="66"/>
    </row>
    <row r="18" spans="2:32" x14ac:dyDescent="0.3">
      <c r="B18" s="66"/>
      <c r="C18" s="84">
        <v>600</v>
      </c>
      <c r="D18" s="85">
        <v>0.91224669603524233</v>
      </c>
      <c r="E18" s="86"/>
      <c r="F18" s="88">
        <f>IF($C18&gt;Tariffs!$E$21,(Tariffs!$F$19*Tariffs!$H$19)+(Tariffs!$F$20*Tariffs!$H$20)+(Tariffs!$F$21*Tariffs!$H$21)+(($C18-Tariffs!$E$21)*Tariffs!$H$22),IF(AND($C18&gt;Tariffs!$E$19,$C18&lt;=Tariffs!$E$20),(Tariffs!$F$19*Tariffs!$H$19)+(($C18-Tariffs!$E$19)*Tariffs!$H$20),IF(AND($C18&gt;Tariffs!$E$20,$C18&lt;=Tariffs!$E$21),(Tariffs!$F$19*Tariffs!$H$19)+(Tariffs!$F$20*Tariffs!$H$20)+(($C18-Tariffs!$E$20)*Tariffs!$H$21),$C18*Tariffs!$H$19)))</f>
        <v>97.810684411273485</v>
      </c>
      <c r="G18" s="87">
        <f t="shared" si="6"/>
        <v>97.810684411273485</v>
      </c>
      <c r="H18" s="88">
        <f>$C18*Tariffs!$J$8</f>
        <v>270.6546074933737</v>
      </c>
      <c r="I18" s="88">
        <f t="shared" si="7"/>
        <v>368.46529190464719</v>
      </c>
      <c r="J18" s="88">
        <f>I18*Tariffs!$I$8</f>
        <v>64.481426083313252</v>
      </c>
      <c r="K18" s="89">
        <f t="shared" si="8"/>
        <v>432.94671798796043</v>
      </c>
      <c r="L18" s="81"/>
      <c r="M18" s="86"/>
      <c r="N18" s="88">
        <f t="shared" si="9"/>
        <v>97.810684411273485</v>
      </c>
      <c r="O18" s="87">
        <f t="shared" si="10"/>
        <v>97.810684411273485</v>
      </c>
      <c r="P18" s="88">
        <f>$C18*Tariffs!$J$8</f>
        <v>270.6546074933737</v>
      </c>
      <c r="Q18" s="67"/>
      <c r="R18" s="88">
        <f>$C18*Tariffs!K$18</f>
        <v>0.10619999999999999</v>
      </c>
      <c r="S18" s="67"/>
      <c r="T18" s="88">
        <f t="shared" si="0"/>
        <v>368.57149190464719</v>
      </c>
      <c r="U18" s="67"/>
      <c r="V18" s="88">
        <f>T18*(1+Tariffs!$I$8)</f>
        <v>433.07150298796046</v>
      </c>
      <c r="W18" s="82"/>
      <c r="X18" s="90">
        <f t="shared" si="1"/>
        <v>600</v>
      </c>
      <c r="Y18" s="88">
        <f t="shared" si="2"/>
        <v>0.12478500000003123</v>
      </c>
      <c r="Z18" s="87">
        <f t="shared" si="3"/>
        <v>0.12478500000003123</v>
      </c>
      <c r="AA18" s="280">
        <f t="shared" si="4"/>
        <v>2.8822253366400652E-4</v>
      </c>
      <c r="AB18" s="281">
        <f t="shared" si="5"/>
        <v>2.8822253366400652E-4</v>
      </c>
      <c r="AC18" s="66"/>
      <c r="AD18" s="66"/>
      <c r="AE18" s="66"/>
      <c r="AF18" s="66"/>
    </row>
    <row r="19" spans="2:32" x14ac:dyDescent="0.3">
      <c r="B19" s="66"/>
      <c r="C19" s="77">
        <v>700</v>
      </c>
      <c r="D19" s="78">
        <v>0.94678414096916308</v>
      </c>
      <c r="E19" s="79"/>
      <c r="F19" s="67">
        <f>IF($C19&gt;Tariffs!$E$21,(Tariffs!$F$19*Tariffs!$H$19)+(Tariffs!$F$20*Tariffs!$H$20)+(Tariffs!$F$21*Tariffs!$H$21)+(($C19-Tariffs!$E$21)*Tariffs!$H$22),IF(AND($C19&gt;Tariffs!$E$19,$C19&lt;=Tariffs!$E$20),(Tariffs!$F$19*Tariffs!$H$19)+(($C19-Tariffs!$E$19)*Tariffs!$H$20),IF(AND($C19&gt;Tariffs!$E$20,$C19&lt;=Tariffs!$E$21),(Tariffs!$F$19*Tariffs!$H$19)+(Tariffs!$F$20*Tariffs!$H$20)+(($C19-Tariffs!$E$20)*Tariffs!$H$21),$C19*Tariffs!$H$19)))</f>
        <v>120.49068441127349</v>
      </c>
      <c r="G19" s="80">
        <f t="shared" si="6"/>
        <v>120.49068441127349</v>
      </c>
      <c r="H19" s="67">
        <f>$C19*Tariffs!$J$8</f>
        <v>315.76370874226933</v>
      </c>
      <c r="I19" s="67">
        <f t="shared" si="7"/>
        <v>436.25439315354282</v>
      </c>
      <c r="J19" s="67">
        <f>I19*Tariffs!$I$8</f>
        <v>76.344518801869995</v>
      </c>
      <c r="K19" s="81">
        <f t="shared" si="8"/>
        <v>512.59891195541286</v>
      </c>
      <c r="L19" s="81"/>
      <c r="M19" s="79"/>
      <c r="N19" s="67">
        <f t="shared" si="9"/>
        <v>120.49068441127349</v>
      </c>
      <c r="O19" s="80">
        <f t="shared" si="10"/>
        <v>120.49068441127349</v>
      </c>
      <c r="P19" s="67">
        <f>$C19*Tariffs!$J$8</f>
        <v>315.76370874226933</v>
      </c>
      <c r="Q19" s="67"/>
      <c r="R19" s="67">
        <f>$C19*Tariffs!K$18</f>
        <v>0.1239</v>
      </c>
      <c r="S19" s="67"/>
      <c r="T19" s="67">
        <f t="shared" si="0"/>
        <v>436.37829315354281</v>
      </c>
      <c r="U19" s="67"/>
      <c r="V19" s="67">
        <f>T19*(1+Tariffs!$I$8)</f>
        <v>512.74449445541279</v>
      </c>
      <c r="W19" s="82"/>
      <c r="X19" s="83">
        <f t="shared" si="1"/>
        <v>700</v>
      </c>
      <c r="Y19" s="67">
        <f t="shared" si="2"/>
        <v>0.14558249999993222</v>
      </c>
      <c r="Z19" s="80">
        <f t="shared" si="3"/>
        <v>0.14558249999993222</v>
      </c>
      <c r="AA19" s="279">
        <f t="shared" si="4"/>
        <v>2.8400860127586469E-4</v>
      </c>
      <c r="AB19" s="277">
        <f t="shared" si="5"/>
        <v>2.8400860127586469E-4</v>
      </c>
      <c r="AC19" s="66"/>
      <c r="AD19" s="66"/>
      <c r="AE19" s="66"/>
      <c r="AF19" s="66"/>
    </row>
    <row r="20" spans="2:32" x14ac:dyDescent="0.3">
      <c r="B20" s="66"/>
      <c r="C20" s="84">
        <v>800</v>
      </c>
      <c r="D20" s="85">
        <v>0.96722466960352427</v>
      </c>
      <c r="E20" s="86"/>
      <c r="F20" s="88">
        <f>IF($C20&gt;Tariffs!$E$21,(Tariffs!$F$19*Tariffs!$H$19)+(Tariffs!$F$20*Tariffs!$H$20)+(Tariffs!$F$21*Tariffs!$H$21)+(($C20-Tariffs!$E$21)*Tariffs!$H$22),IF(AND($C20&gt;Tariffs!$E$19,$C20&lt;=Tariffs!$E$20),(Tariffs!$F$19*Tariffs!$H$19)+(($C20-Tariffs!$E$19)*Tariffs!$H$20),IF(AND($C20&gt;Tariffs!$E$20,$C20&lt;=Tariffs!$E$21),(Tariffs!$F$19*Tariffs!$H$19)+(Tariffs!$F$20*Tariffs!$H$20)+(($C20-Tariffs!$E$20)*Tariffs!$H$21),$C20*Tariffs!$H$19)))</f>
        <v>143.1706844112735</v>
      </c>
      <c r="G20" s="87">
        <f t="shared" si="6"/>
        <v>143.1706844112735</v>
      </c>
      <c r="H20" s="88">
        <f>$C20*Tariffs!$J$8</f>
        <v>360.87280999116496</v>
      </c>
      <c r="I20" s="88">
        <f t="shared" si="7"/>
        <v>504.04349440243845</v>
      </c>
      <c r="J20" s="88">
        <f>I20*Tariffs!$I$8</f>
        <v>88.207611520426724</v>
      </c>
      <c r="K20" s="89">
        <f t="shared" si="8"/>
        <v>592.25110592286524</v>
      </c>
      <c r="L20" s="81"/>
      <c r="M20" s="86"/>
      <c r="N20" s="88">
        <f t="shared" si="9"/>
        <v>143.1706844112735</v>
      </c>
      <c r="O20" s="87">
        <f t="shared" si="10"/>
        <v>143.1706844112735</v>
      </c>
      <c r="P20" s="88">
        <f>$C20*Tariffs!$J$8</f>
        <v>360.87280999116496</v>
      </c>
      <c r="Q20" s="67"/>
      <c r="R20" s="88">
        <f>$C20*Tariffs!K$18</f>
        <v>0.1416</v>
      </c>
      <c r="S20" s="67"/>
      <c r="T20" s="88">
        <f t="shared" si="0"/>
        <v>504.18509440243844</v>
      </c>
      <c r="U20" s="67"/>
      <c r="V20" s="88">
        <f>T20*(1+Tariffs!$I$8)</f>
        <v>592.41748592286524</v>
      </c>
      <c r="W20" s="82"/>
      <c r="X20" s="90">
        <f t="shared" si="1"/>
        <v>800</v>
      </c>
      <c r="Y20" s="88">
        <f t="shared" si="2"/>
        <v>0.16638000000000375</v>
      </c>
      <c r="Z20" s="87">
        <f t="shared" si="3"/>
        <v>0.16638000000000375</v>
      </c>
      <c r="AA20" s="280">
        <f t="shared" si="4"/>
        <v>2.8092813729863053E-4</v>
      </c>
      <c r="AB20" s="281">
        <f t="shared" si="5"/>
        <v>2.8092813729863053E-4</v>
      </c>
      <c r="AC20" s="66"/>
      <c r="AD20" s="66"/>
      <c r="AE20" s="66"/>
      <c r="AF20" s="66"/>
    </row>
    <row r="21" spans="2:32" x14ac:dyDescent="0.3">
      <c r="B21" s="66"/>
      <c r="C21" s="77">
        <v>900</v>
      </c>
      <c r="D21" s="78">
        <v>0.97533039647577091</v>
      </c>
      <c r="E21" s="79"/>
      <c r="F21" s="67">
        <f>IF($C21&gt;Tariffs!$E$21,(Tariffs!$F$19*Tariffs!$H$19)+(Tariffs!$F$20*Tariffs!$H$20)+(Tariffs!$F$21*Tariffs!$H$21)+(($C21-Tariffs!$E$21)*Tariffs!$H$22),IF(AND($C21&gt;Tariffs!$E$19,$C21&lt;=Tariffs!$E$20),(Tariffs!$F$19*Tariffs!$H$19)+(($C21-Tariffs!$E$19)*Tariffs!$H$20),IF(AND($C21&gt;Tariffs!$E$20,$C21&lt;=Tariffs!$E$21),(Tariffs!$F$19*Tariffs!$H$19)+(Tariffs!$F$20*Tariffs!$H$20)+(($C21-Tariffs!$E$20)*Tariffs!$H$21),$C21*Tariffs!$H$19)))</f>
        <v>165.85068441127351</v>
      </c>
      <c r="G21" s="80">
        <f t="shared" si="6"/>
        <v>165.85068441127351</v>
      </c>
      <c r="H21" s="67">
        <f>$C21*Tariffs!$J$8</f>
        <v>405.98191124006053</v>
      </c>
      <c r="I21" s="67">
        <f t="shared" si="7"/>
        <v>571.83259565133403</v>
      </c>
      <c r="J21" s="67">
        <f>I21*Tariffs!$I$8</f>
        <v>100.07070423898345</v>
      </c>
      <c r="K21" s="81">
        <f t="shared" si="8"/>
        <v>671.9032998903175</v>
      </c>
      <c r="L21" s="81"/>
      <c r="M21" s="79"/>
      <c r="N21" s="67">
        <f t="shared" si="9"/>
        <v>165.85068441127351</v>
      </c>
      <c r="O21" s="80">
        <f t="shared" si="10"/>
        <v>165.85068441127351</v>
      </c>
      <c r="P21" s="67">
        <f>$C21*Tariffs!$J$8</f>
        <v>405.98191124006053</v>
      </c>
      <c r="Q21" s="67"/>
      <c r="R21" s="67">
        <f>$C21*Tariffs!K$18</f>
        <v>0.1593</v>
      </c>
      <c r="S21" s="67"/>
      <c r="T21" s="67">
        <f t="shared" si="0"/>
        <v>571.99189565133406</v>
      </c>
      <c r="U21" s="67"/>
      <c r="V21" s="67">
        <f>T21*(1+Tariffs!$I$8)</f>
        <v>672.09047739031757</v>
      </c>
      <c r="W21" s="82"/>
      <c r="X21" s="83">
        <f t="shared" si="1"/>
        <v>900</v>
      </c>
      <c r="Y21" s="67">
        <f t="shared" si="2"/>
        <v>0.18717750000007527</v>
      </c>
      <c r="Z21" s="80">
        <f t="shared" si="3"/>
        <v>0.18717750000007527</v>
      </c>
      <c r="AA21" s="279">
        <f t="shared" si="4"/>
        <v>2.7857803352149269E-4</v>
      </c>
      <c r="AB21" s="277">
        <f t="shared" si="5"/>
        <v>2.7857803352149269E-4</v>
      </c>
      <c r="AC21" s="66"/>
      <c r="AD21" s="66"/>
      <c r="AE21" s="66"/>
      <c r="AF21" s="66"/>
    </row>
    <row r="22" spans="2:32" x14ac:dyDescent="0.3">
      <c r="B22" s="66"/>
      <c r="C22" s="84">
        <v>1000</v>
      </c>
      <c r="D22" s="85">
        <v>0.98361233480176213</v>
      </c>
      <c r="E22" s="86"/>
      <c r="F22" s="88">
        <f>IF($C22&gt;Tariffs!$E$21,(Tariffs!$F$19*Tariffs!$H$19)+(Tariffs!$F$20*Tariffs!$H$20)+(Tariffs!$F$21*Tariffs!$H$21)+(($C22-Tariffs!$E$21)*Tariffs!$H$22),IF(AND($C22&gt;Tariffs!$E$19,$C22&lt;=Tariffs!$E$20),(Tariffs!$F$19*Tariffs!$H$19)+(($C22-Tariffs!$E$19)*Tariffs!$H$20),IF(AND($C22&gt;Tariffs!$E$20,$C22&lt;=Tariffs!$E$21),(Tariffs!$F$19*Tariffs!$H$19)+(Tariffs!$F$20*Tariffs!$H$20)+(($C22-Tariffs!$E$20)*Tariffs!$H$21),$C22*Tariffs!$H$19)))</f>
        <v>188.53068441127351</v>
      </c>
      <c r="G22" s="87">
        <f t="shared" si="6"/>
        <v>188.53068441127351</v>
      </c>
      <c r="H22" s="88">
        <f>$C22*Tariffs!$J$8</f>
        <v>451.09101248895615</v>
      </c>
      <c r="I22" s="88">
        <f t="shared" si="7"/>
        <v>639.62169690022961</v>
      </c>
      <c r="J22" s="88">
        <f>I22*Tariffs!$I$8</f>
        <v>111.93379695754018</v>
      </c>
      <c r="K22" s="89">
        <f t="shared" si="8"/>
        <v>751.55549385776976</v>
      </c>
      <c r="L22" s="81"/>
      <c r="M22" s="86"/>
      <c r="N22" s="88">
        <f t="shared" si="9"/>
        <v>188.53068441127351</v>
      </c>
      <c r="O22" s="87">
        <f t="shared" si="10"/>
        <v>188.53068441127351</v>
      </c>
      <c r="P22" s="88">
        <f>$C22*Tariffs!$J$8</f>
        <v>451.09101248895615</v>
      </c>
      <c r="Q22" s="67"/>
      <c r="R22" s="88">
        <f>$C22*Tariffs!K$18</f>
        <v>0.17699999999999999</v>
      </c>
      <c r="S22" s="67"/>
      <c r="T22" s="88">
        <f t="shared" si="0"/>
        <v>639.79869690022963</v>
      </c>
      <c r="U22" s="67"/>
      <c r="V22" s="88">
        <f>T22*(1+Tariffs!$I$8)</f>
        <v>751.76346885776979</v>
      </c>
      <c r="W22" s="82"/>
      <c r="X22" s="90">
        <f t="shared" si="1"/>
        <v>1000</v>
      </c>
      <c r="Y22" s="88">
        <f t="shared" si="2"/>
        <v>0.20797500000003311</v>
      </c>
      <c r="Z22" s="87">
        <f t="shared" si="3"/>
        <v>0.20797500000003311</v>
      </c>
      <c r="AA22" s="280">
        <f t="shared" si="4"/>
        <v>2.7672607239215274E-4</v>
      </c>
      <c r="AB22" s="281">
        <f t="shared" si="5"/>
        <v>2.7672607239215274E-4</v>
      </c>
      <c r="AC22" s="66"/>
      <c r="AD22" s="66"/>
      <c r="AE22" s="66"/>
      <c r="AF22" s="66"/>
    </row>
    <row r="23" spans="2:32" x14ac:dyDescent="0.3">
      <c r="B23" s="66"/>
      <c r="C23" s="77">
        <v>1100</v>
      </c>
      <c r="D23" s="78">
        <v>0.98872246696035249</v>
      </c>
      <c r="E23" s="79"/>
      <c r="F23" s="67">
        <f>IF($C23&gt;Tariffs!$E$21,(Tariffs!$F$19*Tariffs!$H$19)+(Tariffs!$F$20*Tariffs!$H$20)+(Tariffs!$F$21*Tariffs!$H$21)+(($C23-Tariffs!$E$21)*Tariffs!$H$22),IF(AND($C23&gt;Tariffs!$E$19,$C23&lt;=Tariffs!$E$20),(Tariffs!$F$19*Tariffs!$H$19)+(($C23-Tariffs!$E$19)*Tariffs!$H$20),IF(AND($C23&gt;Tariffs!$E$20,$C23&lt;=Tariffs!$E$21),(Tariffs!$F$19*Tariffs!$H$19)+(Tariffs!$F$20*Tariffs!$H$20)+(($C23-Tariffs!$E$20)*Tariffs!$H$21),$C23*Tariffs!$H$19)))</f>
        <v>211.21068441127352</v>
      </c>
      <c r="G23" s="80">
        <f t="shared" si="6"/>
        <v>211.21068441127352</v>
      </c>
      <c r="H23" s="67">
        <f>$C23*Tariffs!$J$8</f>
        <v>496.20011373785178</v>
      </c>
      <c r="I23" s="67">
        <f t="shared" si="7"/>
        <v>707.4107981491253</v>
      </c>
      <c r="J23" s="67">
        <f>I23*Tariffs!$I$8</f>
        <v>123.79688967609692</v>
      </c>
      <c r="K23" s="81">
        <f t="shared" si="8"/>
        <v>831.20768782522225</v>
      </c>
      <c r="L23" s="81"/>
      <c r="M23" s="79"/>
      <c r="N23" s="67">
        <f t="shared" si="9"/>
        <v>211.21068441127352</v>
      </c>
      <c r="O23" s="80">
        <f t="shared" si="10"/>
        <v>211.21068441127352</v>
      </c>
      <c r="P23" s="67">
        <f>$C23*Tariffs!$J$8</f>
        <v>496.20011373785178</v>
      </c>
      <c r="Q23" s="67"/>
      <c r="R23" s="67">
        <f>$C23*Tariffs!K$18</f>
        <v>0.19469999999999998</v>
      </c>
      <c r="S23" s="67"/>
      <c r="T23" s="67">
        <f t="shared" si="0"/>
        <v>707.60549814912531</v>
      </c>
      <c r="U23" s="67"/>
      <c r="V23" s="67">
        <f>T23*(1+Tariffs!$I$8)</f>
        <v>831.43646032522224</v>
      </c>
      <c r="W23" s="82"/>
      <c r="X23" s="83">
        <f t="shared" si="1"/>
        <v>1100</v>
      </c>
      <c r="Y23" s="67">
        <f t="shared" si="2"/>
        <v>0.22877249999999094</v>
      </c>
      <c r="Z23" s="80">
        <f t="shared" si="3"/>
        <v>0.22877249999999094</v>
      </c>
      <c r="AA23" s="279">
        <f t="shared" si="4"/>
        <v>2.7522904726562381E-4</v>
      </c>
      <c r="AB23" s="277">
        <f t="shared" si="5"/>
        <v>2.7522904726562381E-4</v>
      </c>
      <c r="AC23" s="66"/>
      <c r="AD23" s="66"/>
      <c r="AE23" s="66"/>
      <c r="AF23" s="66"/>
    </row>
    <row r="24" spans="2:32" x14ac:dyDescent="0.3">
      <c r="B24" s="66"/>
      <c r="C24" s="84">
        <v>1200</v>
      </c>
      <c r="D24" s="85">
        <v>0.99277533039647581</v>
      </c>
      <c r="E24" s="86"/>
      <c r="F24" s="88">
        <f>IF($C24&gt;Tariffs!$E$21,(Tariffs!$F$19*Tariffs!$H$19)+(Tariffs!$F$20*Tariffs!$H$20)+(Tariffs!$F$21*Tariffs!$H$21)+(($C24-Tariffs!$E$21)*Tariffs!$H$22),IF(AND($C24&gt;Tariffs!$E$19,$C24&lt;=Tariffs!$E$20),(Tariffs!$F$19*Tariffs!$H$19)+(($C24-Tariffs!$E$19)*Tariffs!$H$20),IF(AND($C24&gt;Tariffs!$E$20,$C24&lt;=Tariffs!$E$21),(Tariffs!$F$19*Tariffs!$H$19)+(Tariffs!$F$20*Tariffs!$H$20)+(($C24-Tariffs!$E$20)*Tariffs!$H$21),$C24*Tariffs!$H$19)))</f>
        <v>233.89068441127347</v>
      </c>
      <c r="G24" s="87">
        <f t="shared" si="6"/>
        <v>233.89068441127347</v>
      </c>
      <c r="H24" s="88">
        <f>$C24*Tariffs!$J$8</f>
        <v>541.30921498674741</v>
      </c>
      <c r="I24" s="88">
        <f t="shared" si="7"/>
        <v>775.19989939802088</v>
      </c>
      <c r="J24" s="88">
        <f>I24*Tariffs!$I$8</f>
        <v>135.65998239465364</v>
      </c>
      <c r="K24" s="89">
        <f t="shared" si="8"/>
        <v>910.85988179267451</v>
      </c>
      <c r="L24" s="81"/>
      <c r="M24" s="86"/>
      <c r="N24" s="88">
        <f t="shared" si="9"/>
        <v>233.89068441127347</v>
      </c>
      <c r="O24" s="87">
        <f t="shared" si="10"/>
        <v>233.89068441127347</v>
      </c>
      <c r="P24" s="88">
        <f>$C24*Tariffs!$J$8</f>
        <v>541.30921498674741</v>
      </c>
      <c r="Q24" s="67"/>
      <c r="R24" s="88">
        <f>$C24*Tariffs!K$18</f>
        <v>0.21239999999999998</v>
      </c>
      <c r="S24" s="67"/>
      <c r="T24" s="88">
        <f t="shared" si="0"/>
        <v>775.41229939802088</v>
      </c>
      <c r="U24" s="67"/>
      <c r="V24" s="88">
        <f>T24*(1+Tariffs!$I$8)</f>
        <v>911.10945179267458</v>
      </c>
      <c r="W24" s="82"/>
      <c r="X24" s="90">
        <f t="shared" si="1"/>
        <v>1200</v>
      </c>
      <c r="Y24" s="88">
        <f t="shared" si="2"/>
        <v>0.24957000000006246</v>
      </c>
      <c r="Z24" s="87">
        <f t="shared" si="3"/>
        <v>0.24957000000006246</v>
      </c>
      <c r="AA24" s="280">
        <f t="shared" si="4"/>
        <v>2.7399384360737855E-4</v>
      </c>
      <c r="AB24" s="281">
        <f t="shared" si="5"/>
        <v>2.7399384360737855E-4</v>
      </c>
      <c r="AC24" s="66"/>
      <c r="AD24" s="66"/>
      <c r="AE24" s="66"/>
      <c r="AF24" s="66"/>
    </row>
    <row r="25" spans="2:32" x14ac:dyDescent="0.3">
      <c r="B25" s="66"/>
      <c r="C25" s="77">
        <v>1300</v>
      </c>
      <c r="D25" s="78">
        <v>0.99488986784140976</v>
      </c>
      <c r="E25" s="79"/>
      <c r="F25" s="67">
        <f>IF($C25&gt;Tariffs!$E$21,(Tariffs!$F$19*Tariffs!$H$19)+(Tariffs!$F$20*Tariffs!$H$20)+(Tariffs!$F$21*Tariffs!$H$21)+(($C25-Tariffs!$E$21)*Tariffs!$H$22),IF(AND($C25&gt;Tariffs!$E$19,$C25&lt;=Tariffs!$E$20),(Tariffs!$F$19*Tariffs!$H$19)+(($C25-Tariffs!$E$19)*Tariffs!$H$20),IF(AND($C25&gt;Tariffs!$E$20,$C25&lt;=Tariffs!$E$21),(Tariffs!$F$19*Tariffs!$H$19)+(Tariffs!$F$20*Tariffs!$H$20)+(($C25-Tariffs!$E$20)*Tariffs!$H$21),$C25*Tariffs!$H$19)))</f>
        <v>256.57068441127348</v>
      </c>
      <c r="G25" s="80">
        <f t="shared" si="6"/>
        <v>256.57068441127348</v>
      </c>
      <c r="H25" s="67">
        <f>$C25*Tariffs!$J$8</f>
        <v>586.41831623564303</v>
      </c>
      <c r="I25" s="67">
        <f t="shared" si="7"/>
        <v>842.98900064691657</v>
      </c>
      <c r="J25" s="67">
        <f>I25*Tariffs!$I$8</f>
        <v>147.52307511321038</v>
      </c>
      <c r="K25" s="81">
        <f t="shared" si="8"/>
        <v>990.51207576012689</v>
      </c>
      <c r="L25" s="81"/>
      <c r="M25" s="79"/>
      <c r="N25" s="67">
        <f t="shared" si="9"/>
        <v>256.57068441127348</v>
      </c>
      <c r="O25" s="80">
        <f t="shared" si="10"/>
        <v>256.57068441127348</v>
      </c>
      <c r="P25" s="67">
        <f>$C25*Tariffs!$J$8</f>
        <v>586.41831623564303</v>
      </c>
      <c r="Q25" s="67"/>
      <c r="R25" s="67">
        <f>$C25*Tariffs!K$18</f>
        <v>0.2301</v>
      </c>
      <c r="S25" s="67"/>
      <c r="T25" s="67">
        <f t="shared" si="0"/>
        <v>843.21910064691656</v>
      </c>
      <c r="U25" s="67"/>
      <c r="V25" s="67">
        <f>T25*(1+Tariffs!$I$8)</f>
        <v>990.78244326012702</v>
      </c>
      <c r="W25" s="82"/>
      <c r="X25" s="83">
        <f t="shared" si="1"/>
        <v>1300</v>
      </c>
      <c r="Y25" s="67">
        <f t="shared" si="2"/>
        <v>0.27036750000013399</v>
      </c>
      <c r="Z25" s="80">
        <f t="shared" si="3"/>
        <v>0.27036750000013399</v>
      </c>
      <c r="AA25" s="279">
        <f t="shared" si="4"/>
        <v>2.7295729816589898E-4</v>
      </c>
      <c r="AB25" s="277">
        <f t="shared" si="5"/>
        <v>2.7295729816589898E-4</v>
      </c>
      <c r="AC25" s="66"/>
      <c r="AD25" s="66"/>
      <c r="AE25" s="66"/>
      <c r="AF25" s="66"/>
    </row>
    <row r="26" spans="2:32" x14ac:dyDescent="0.3">
      <c r="B26" s="66"/>
      <c r="C26" s="84">
        <v>1400</v>
      </c>
      <c r="D26" s="85">
        <v>0.99524229074889869</v>
      </c>
      <c r="E26" s="86"/>
      <c r="F26" s="88">
        <f>IF($C26&gt;Tariffs!$E$21,(Tariffs!$F$19*Tariffs!$H$19)+(Tariffs!$F$20*Tariffs!$H$20)+(Tariffs!$F$21*Tariffs!$H$21)+(($C26-Tariffs!$E$21)*Tariffs!$H$22),IF(AND($C26&gt;Tariffs!$E$19,$C26&lt;=Tariffs!$E$20),(Tariffs!$F$19*Tariffs!$H$19)+(($C26-Tariffs!$E$19)*Tariffs!$H$20),IF(AND($C26&gt;Tariffs!$E$20,$C26&lt;=Tariffs!$E$21),(Tariffs!$F$19*Tariffs!$H$19)+(Tariffs!$F$20*Tariffs!$H$20)+(($C26-Tariffs!$E$20)*Tariffs!$H$21),$C26*Tariffs!$H$19)))</f>
        <v>279.25068441127348</v>
      </c>
      <c r="G26" s="87">
        <f t="shared" si="6"/>
        <v>279.25068441127348</v>
      </c>
      <c r="H26" s="88">
        <f>$C26*Tariffs!$J$8</f>
        <v>631.52741748453866</v>
      </c>
      <c r="I26" s="88">
        <f t="shared" si="7"/>
        <v>910.77810189581214</v>
      </c>
      <c r="J26" s="88">
        <f>I26*Tariffs!$I$8</f>
        <v>159.38616783176712</v>
      </c>
      <c r="K26" s="89">
        <f t="shared" si="8"/>
        <v>1070.1642697275793</v>
      </c>
      <c r="L26" s="81"/>
      <c r="M26" s="86"/>
      <c r="N26" s="88">
        <f t="shared" si="9"/>
        <v>279.25068441127348</v>
      </c>
      <c r="O26" s="87">
        <f t="shared" si="10"/>
        <v>279.25068441127348</v>
      </c>
      <c r="P26" s="88">
        <f>$C26*Tariffs!$J$8</f>
        <v>631.52741748453866</v>
      </c>
      <c r="Q26" s="67"/>
      <c r="R26" s="88">
        <f>$C26*Tariffs!K$18</f>
        <v>0.24779999999999999</v>
      </c>
      <c r="S26" s="67"/>
      <c r="T26" s="88">
        <f t="shared" si="0"/>
        <v>911.02590189581213</v>
      </c>
      <c r="U26" s="67"/>
      <c r="V26" s="88">
        <f>T26*(1+Tariffs!$I$8)</f>
        <v>1070.4554347275794</v>
      </c>
      <c r="W26" s="82"/>
      <c r="X26" s="90">
        <f t="shared" si="1"/>
        <v>1400</v>
      </c>
      <c r="Y26" s="88">
        <f t="shared" si="2"/>
        <v>0.29116500000009182</v>
      </c>
      <c r="Z26" s="87">
        <f t="shared" si="3"/>
        <v>0.29116500000009182</v>
      </c>
      <c r="AA26" s="280">
        <f t="shared" si="4"/>
        <v>2.7207505262172305E-4</v>
      </c>
      <c r="AB26" s="281">
        <f t="shared" si="5"/>
        <v>2.7207505262172305E-4</v>
      </c>
      <c r="AC26" s="66"/>
      <c r="AD26" s="66"/>
      <c r="AE26" s="66"/>
      <c r="AF26" s="66"/>
    </row>
    <row r="27" spans="2:32" x14ac:dyDescent="0.3">
      <c r="B27" s="66"/>
      <c r="C27" s="77">
        <v>1500</v>
      </c>
      <c r="D27" s="78">
        <v>0.99577092511013221</v>
      </c>
      <c r="E27" s="79"/>
      <c r="F27" s="67">
        <f>IF($C27&gt;Tariffs!$E$21,(Tariffs!$F$19*Tariffs!$H$19)+(Tariffs!$F$20*Tariffs!$H$20)+(Tariffs!$F$21*Tariffs!$H$21)+(($C27-Tariffs!$E$21)*Tariffs!$H$22),IF(AND($C27&gt;Tariffs!$E$19,$C27&lt;=Tariffs!$E$20),(Tariffs!$F$19*Tariffs!$H$19)+(($C27-Tariffs!$E$19)*Tariffs!$H$20),IF(AND($C27&gt;Tariffs!$E$20,$C27&lt;=Tariffs!$E$21),(Tariffs!$F$19*Tariffs!$H$19)+(Tariffs!$F$20*Tariffs!$H$20)+(($C27-Tariffs!$E$20)*Tariffs!$H$21),$C27*Tariffs!$H$19)))</f>
        <v>301.93068441127349</v>
      </c>
      <c r="G27" s="80">
        <f t="shared" si="6"/>
        <v>301.93068441127349</v>
      </c>
      <c r="H27" s="67">
        <f>$C27*Tariffs!$J$8</f>
        <v>676.63651873343429</v>
      </c>
      <c r="I27" s="67">
        <f t="shared" si="7"/>
        <v>978.56720314470772</v>
      </c>
      <c r="J27" s="67">
        <f>I27*Tariffs!$I$8</f>
        <v>171.24926055032384</v>
      </c>
      <c r="K27" s="81">
        <f t="shared" si="8"/>
        <v>1149.8164636950316</v>
      </c>
      <c r="L27" s="81"/>
      <c r="M27" s="79"/>
      <c r="N27" s="67">
        <f t="shared" si="9"/>
        <v>301.93068441127349</v>
      </c>
      <c r="O27" s="80">
        <f t="shared" si="10"/>
        <v>301.93068441127349</v>
      </c>
      <c r="P27" s="67">
        <f>$C27*Tariffs!$J$8</f>
        <v>676.63651873343429</v>
      </c>
      <c r="Q27" s="67"/>
      <c r="R27" s="67">
        <f>$C27*Tariffs!K$18</f>
        <v>0.26550000000000001</v>
      </c>
      <c r="S27" s="67"/>
      <c r="T27" s="67">
        <f t="shared" si="0"/>
        <v>978.83270314470769</v>
      </c>
      <c r="U27" s="67"/>
      <c r="V27" s="67">
        <f>T27*(1+Tariffs!$I$8)</f>
        <v>1150.1284261950316</v>
      </c>
      <c r="W27" s="82"/>
      <c r="X27" s="83">
        <f t="shared" si="1"/>
        <v>1500</v>
      </c>
      <c r="Y27" s="67">
        <f t="shared" si="2"/>
        <v>0.31196249999993597</v>
      </c>
      <c r="Z27" s="80">
        <f t="shared" si="3"/>
        <v>0.31196249999993597</v>
      </c>
      <c r="AA27" s="279">
        <f t="shared" si="4"/>
        <v>2.7131504013899743E-4</v>
      </c>
      <c r="AB27" s="277">
        <f t="shared" si="5"/>
        <v>2.7131504013899743E-4</v>
      </c>
      <c r="AC27" s="66"/>
      <c r="AD27" s="66"/>
      <c r="AE27" s="66"/>
      <c r="AF27" s="66"/>
    </row>
    <row r="28" spans="2:32" x14ac:dyDescent="0.3">
      <c r="B28" s="66"/>
      <c r="C28" s="84">
        <v>1600</v>
      </c>
      <c r="D28" s="85">
        <v>0.99594713656387668</v>
      </c>
      <c r="E28" s="86"/>
      <c r="F28" s="88">
        <f>IF($C28&gt;Tariffs!$E$21,(Tariffs!$F$19*Tariffs!$H$19)+(Tariffs!$F$20*Tariffs!$H$20)+(Tariffs!$F$21*Tariffs!$H$21)+(($C28-Tariffs!$E$21)*Tariffs!$H$22),IF(AND($C28&gt;Tariffs!$E$19,$C28&lt;=Tariffs!$E$20),(Tariffs!$F$19*Tariffs!$H$19)+(($C28-Tariffs!$E$19)*Tariffs!$H$20),IF(AND($C28&gt;Tariffs!$E$20,$C28&lt;=Tariffs!$E$21),(Tariffs!$F$19*Tariffs!$H$19)+(Tariffs!$F$20*Tariffs!$H$20)+(($C28-Tariffs!$E$20)*Tariffs!$H$21),$C28*Tariffs!$H$19)))</f>
        <v>327.38268441127349</v>
      </c>
      <c r="G28" s="87">
        <f t="shared" si="6"/>
        <v>327.38268441127349</v>
      </c>
      <c r="H28" s="88">
        <f>$C28*Tariffs!$J$8</f>
        <v>721.74561998232991</v>
      </c>
      <c r="I28" s="88">
        <f t="shared" si="7"/>
        <v>1049.1283043936035</v>
      </c>
      <c r="J28" s="88">
        <f>I28*Tariffs!$I$8</f>
        <v>183.5974532688806</v>
      </c>
      <c r="K28" s="89">
        <f t="shared" si="8"/>
        <v>1232.7257576624841</v>
      </c>
      <c r="L28" s="81"/>
      <c r="M28" s="86"/>
      <c r="N28" s="88">
        <f t="shared" si="9"/>
        <v>327.38268441127349</v>
      </c>
      <c r="O28" s="87">
        <f t="shared" si="10"/>
        <v>327.38268441127349</v>
      </c>
      <c r="P28" s="88">
        <f>$C28*Tariffs!$J$8</f>
        <v>721.74561998232991</v>
      </c>
      <c r="Q28" s="67"/>
      <c r="R28" s="88">
        <f>$C28*Tariffs!K$18</f>
        <v>0.28320000000000001</v>
      </c>
      <c r="S28" s="67"/>
      <c r="T28" s="88">
        <f t="shared" si="0"/>
        <v>1049.4115043936035</v>
      </c>
      <c r="U28" s="67"/>
      <c r="V28" s="88">
        <f>T28*(1+Tariffs!$I$8)</f>
        <v>1233.0585176624843</v>
      </c>
      <c r="W28" s="82"/>
      <c r="X28" s="114">
        <f t="shared" si="1"/>
        <v>1600</v>
      </c>
      <c r="Y28" s="136">
        <f t="shared" si="2"/>
        <v>0.33276000000023487</v>
      </c>
      <c r="Z28" s="177">
        <f t="shared" si="3"/>
        <v>0.33276000000023487</v>
      </c>
      <c r="AA28" s="284">
        <f t="shared" si="4"/>
        <v>2.6993838486122357E-4</v>
      </c>
      <c r="AB28" s="285">
        <f t="shared" si="5"/>
        <v>2.6993838486122357E-4</v>
      </c>
      <c r="AC28" s="66"/>
      <c r="AD28" s="66"/>
      <c r="AE28" s="66"/>
      <c r="AF28" s="66"/>
    </row>
    <row r="29" spans="2:32" x14ac:dyDescent="0.3">
      <c r="B29" s="66"/>
      <c r="C29" s="97"/>
      <c r="D29" s="97"/>
      <c r="E29" s="98"/>
      <c r="F29" s="98"/>
      <c r="G29" s="67"/>
      <c r="H29" s="67"/>
      <c r="I29" s="67"/>
      <c r="J29" s="67"/>
      <c r="K29" s="67"/>
      <c r="L29" s="3"/>
      <c r="M29" s="67"/>
      <c r="N29" s="67"/>
      <c r="O29" s="67"/>
      <c r="P29" s="67"/>
      <c r="Q29" s="67"/>
      <c r="R29" s="67"/>
      <c r="S29" s="67"/>
      <c r="T29" s="67"/>
      <c r="U29" s="67"/>
      <c r="V29" s="67"/>
      <c r="W29" s="66"/>
      <c r="X29" s="66"/>
      <c r="Y29" s="66"/>
      <c r="Z29" s="66"/>
      <c r="AA29" s="66"/>
      <c r="AB29" s="66"/>
      <c r="AC29" s="66"/>
      <c r="AD29" s="66"/>
      <c r="AE29" s="66"/>
      <c r="AF29" s="66"/>
    </row>
    <row r="30" spans="2:32" x14ac:dyDescent="0.3">
      <c r="L30" s="68"/>
    </row>
    <row r="31" spans="2:32" x14ac:dyDescent="0.3">
      <c r="L31" s="68"/>
    </row>
    <row r="32" spans="2:32" x14ac:dyDescent="0.3">
      <c r="L32" s="68"/>
    </row>
    <row r="33" spans="12:12" x14ac:dyDescent="0.3">
      <c r="L33" s="68"/>
    </row>
    <row r="34" spans="12:12" x14ac:dyDescent="0.3">
      <c r="L34" s="68"/>
    </row>
    <row r="35" spans="12:12" x14ac:dyDescent="0.3">
      <c r="L35" s="68"/>
    </row>
    <row r="36" spans="12:12" x14ac:dyDescent="0.3">
      <c r="L36" s="68"/>
    </row>
    <row r="37" spans="12:12" x14ac:dyDescent="0.3">
      <c r="L37" s="68"/>
    </row>
    <row r="38" spans="12:12" x14ac:dyDescent="0.3">
      <c r="L38" s="68"/>
    </row>
    <row r="39" spans="12:12" x14ac:dyDescent="0.3">
      <c r="L39" s="68"/>
    </row>
    <row r="40" spans="12:12" x14ac:dyDescent="0.3">
      <c r="L40" s="68"/>
    </row>
    <row r="41" spans="12:12" x14ac:dyDescent="0.3">
      <c r="L41" s="68"/>
    </row>
    <row r="42" spans="12:12" x14ac:dyDescent="0.3">
      <c r="L42" s="68"/>
    </row>
    <row r="43" spans="12:12" x14ac:dyDescent="0.3">
      <c r="L43" s="68"/>
    </row>
    <row r="44" spans="12:12" x14ac:dyDescent="0.3">
      <c r="L44" s="68"/>
    </row>
    <row r="45" spans="12:12" x14ac:dyDescent="0.3">
      <c r="L45" s="68"/>
    </row>
    <row r="46" spans="12:12" x14ac:dyDescent="0.3">
      <c r="L46" s="68"/>
    </row>
    <row r="47" spans="12:12" x14ac:dyDescent="0.3">
      <c r="L47" s="68"/>
    </row>
    <row r="48" spans="12:12" x14ac:dyDescent="0.3">
      <c r="L48" s="68"/>
    </row>
    <row r="49" spans="12:12" x14ac:dyDescent="0.3">
      <c r="L49" s="68"/>
    </row>
    <row r="50" spans="12:12" x14ac:dyDescent="0.3">
      <c r="L50" s="68"/>
    </row>
    <row r="51" spans="12:12" x14ac:dyDescent="0.3">
      <c r="L51" s="68"/>
    </row>
    <row r="52" spans="12:12" x14ac:dyDescent="0.3">
      <c r="L52" s="68"/>
    </row>
    <row r="53" spans="12:12" x14ac:dyDescent="0.3">
      <c r="L53" s="68"/>
    </row>
    <row r="54" spans="12:12" x14ac:dyDescent="0.3">
      <c r="L54" s="68"/>
    </row>
    <row r="55" spans="12:12" x14ac:dyDescent="0.3">
      <c r="L55" s="68"/>
    </row>
    <row r="56" spans="12:12" x14ac:dyDescent="0.3">
      <c r="L56" s="68"/>
    </row>
    <row r="57" spans="12:12" x14ac:dyDescent="0.3">
      <c r="L57" s="68"/>
    </row>
    <row r="58" spans="12:12" x14ac:dyDescent="0.3">
      <c r="L58" s="68"/>
    </row>
    <row r="59" spans="12:12" x14ac:dyDescent="0.3">
      <c r="L59" s="68"/>
    </row>
    <row r="60" spans="12:12" x14ac:dyDescent="0.3">
      <c r="L60" s="68"/>
    </row>
    <row r="61" spans="12:12" x14ac:dyDescent="0.3">
      <c r="L61" s="68"/>
    </row>
    <row r="62" spans="12:12" x14ac:dyDescent="0.3">
      <c r="L62" s="68"/>
    </row>
    <row r="63" spans="12:12" x14ac:dyDescent="0.3">
      <c r="L63" s="68"/>
    </row>
    <row r="64" spans="12:12" x14ac:dyDescent="0.3">
      <c r="L64" s="68"/>
    </row>
    <row r="65" spans="12:12" x14ac:dyDescent="0.3">
      <c r="L65" s="68"/>
    </row>
    <row r="66" spans="12:12" x14ac:dyDescent="0.3">
      <c r="L66" s="68"/>
    </row>
    <row r="67" spans="12:12" x14ac:dyDescent="0.3">
      <c r="L67" s="68"/>
    </row>
    <row r="68" spans="12:12" x14ac:dyDescent="0.3">
      <c r="L68" s="68"/>
    </row>
    <row r="69" spans="12:12" x14ac:dyDescent="0.3">
      <c r="L69" s="68"/>
    </row>
    <row r="70" spans="12:12" x14ac:dyDescent="0.3">
      <c r="L70" s="68"/>
    </row>
    <row r="71" spans="12:12" x14ac:dyDescent="0.3">
      <c r="L71" s="68"/>
    </row>
    <row r="72" spans="12:12" x14ac:dyDescent="0.3">
      <c r="L72" s="68"/>
    </row>
    <row r="73" spans="12:12" x14ac:dyDescent="0.3">
      <c r="L73" s="68"/>
    </row>
    <row r="74" spans="12:12" x14ac:dyDescent="0.3">
      <c r="L74" s="68"/>
    </row>
    <row r="75" spans="12:12" x14ac:dyDescent="0.3">
      <c r="L75" s="68"/>
    </row>
    <row r="76" spans="12:12" x14ac:dyDescent="0.3">
      <c r="L76" s="68"/>
    </row>
    <row r="77" spans="12:12" x14ac:dyDescent="0.3">
      <c r="L77" s="68"/>
    </row>
    <row r="78" spans="12:12" x14ac:dyDescent="0.3">
      <c r="L78" s="68"/>
    </row>
    <row r="79" spans="12:12" x14ac:dyDescent="0.3">
      <c r="L79" s="68"/>
    </row>
    <row r="80" spans="12:12" x14ac:dyDescent="0.3">
      <c r="L80" s="68"/>
    </row>
    <row r="81" spans="12:12" x14ac:dyDescent="0.3">
      <c r="L81" s="68"/>
    </row>
    <row r="82" spans="12:12" x14ac:dyDescent="0.3">
      <c r="L82" s="68"/>
    </row>
    <row r="83" spans="12:12" x14ac:dyDescent="0.3">
      <c r="L83" s="68"/>
    </row>
    <row r="84" spans="12:12" x14ac:dyDescent="0.3">
      <c r="L84" s="68"/>
    </row>
    <row r="85" spans="12:12" x14ac:dyDescent="0.3">
      <c r="L85" s="68"/>
    </row>
    <row r="86" spans="12:12" x14ac:dyDescent="0.3">
      <c r="L86" s="68"/>
    </row>
    <row r="87" spans="12:12" x14ac:dyDescent="0.3">
      <c r="L87" s="68"/>
    </row>
    <row r="88" spans="12:12" x14ac:dyDescent="0.3">
      <c r="L88" s="68"/>
    </row>
    <row r="89" spans="12:12" x14ac:dyDescent="0.3">
      <c r="L89" s="68"/>
    </row>
    <row r="90" spans="12:12" x14ac:dyDescent="0.3">
      <c r="L90" s="68"/>
    </row>
    <row r="91" spans="12:12" x14ac:dyDescent="0.3">
      <c r="L91" s="68"/>
    </row>
    <row r="92" spans="12:12" x14ac:dyDescent="0.3">
      <c r="L92" s="68"/>
    </row>
    <row r="93" spans="12:12" x14ac:dyDescent="0.3">
      <c r="L93" s="68"/>
    </row>
    <row r="94" spans="12:12" x14ac:dyDescent="0.3">
      <c r="L94" s="68"/>
    </row>
    <row r="95" spans="12:12" x14ac:dyDescent="0.3">
      <c r="L95" s="68"/>
    </row>
    <row r="96" spans="12:12" x14ac:dyDescent="0.3">
      <c r="L96" s="68"/>
    </row>
    <row r="97" spans="12:12" x14ac:dyDescent="0.3">
      <c r="L97" s="68"/>
    </row>
    <row r="98" spans="12:12" x14ac:dyDescent="0.3">
      <c r="L98" s="68"/>
    </row>
    <row r="99" spans="12:12" x14ac:dyDescent="0.3">
      <c r="L99" s="68"/>
    </row>
    <row r="100" spans="12:12" x14ac:dyDescent="0.3">
      <c r="L100" s="68"/>
    </row>
    <row r="101" spans="12:12" x14ac:dyDescent="0.3">
      <c r="L101" s="68"/>
    </row>
    <row r="102" spans="12:12" x14ac:dyDescent="0.3">
      <c r="L102" s="68"/>
    </row>
    <row r="103" spans="12:12" x14ac:dyDescent="0.3">
      <c r="L103" s="68"/>
    </row>
    <row r="104" spans="12:12" x14ac:dyDescent="0.3">
      <c r="L104" s="68"/>
    </row>
    <row r="105" spans="12:12" x14ac:dyDescent="0.3">
      <c r="L105" s="68"/>
    </row>
    <row r="106" spans="12:12" x14ac:dyDescent="0.3">
      <c r="L106" s="68"/>
    </row>
    <row r="107" spans="12:12" x14ac:dyDescent="0.3">
      <c r="L107" s="68"/>
    </row>
    <row r="108" spans="12:12" x14ac:dyDescent="0.3">
      <c r="L108" s="68"/>
    </row>
    <row r="109" spans="12:12" x14ac:dyDescent="0.3">
      <c r="L109" s="68"/>
    </row>
    <row r="110" spans="12:12" x14ac:dyDescent="0.3">
      <c r="L110" s="68"/>
    </row>
    <row r="111" spans="12:12" x14ac:dyDescent="0.3">
      <c r="L111" s="68"/>
    </row>
    <row r="112" spans="12:12" x14ac:dyDescent="0.3">
      <c r="L112" s="68"/>
    </row>
    <row r="113" spans="12:12" x14ac:dyDescent="0.3">
      <c r="L113" s="68"/>
    </row>
    <row r="114" spans="12:12" x14ac:dyDescent="0.3">
      <c r="L114" s="68"/>
    </row>
    <row r="115" spans="12:12" x14ac:dyDescent="0.3">
      <c r="L115" s="68"/>
    </row>
    <row r="116" spans="12:12" x14ac:dyDescent="0.3">
      <c r="L116" s="68"/>
    </row>
    <row r="117" spans="12:12" x14ac:dyDescent="0.3">
      <c r="L117" s="68"/>
    </row>
    <row r="118" spans="12:12" x14ac:dyDescent="0.3">
      <c r="L118" s="68"/>
    </row>
    <row r="119" spans="12:12" x14ac:dyDescent="0.3">
      <c r="L119" s="68"/>
    </row>
    <row r="120" spans="12:12" x14ac:dyDescent="0.3">
      <c r="L120" s="68"/>
    </row>
    <row r="121" spans="12:12" x14ac:dyDescent="0.3">
      <c r="L121" s="68"/>
    </row>
    <row r="122" spans="12:12" x14ac:dyDescent="0.3">
      <c r="L122" s="68"/>
    </row>
    <row r="123" spans="12:12" x14ac:dyDescent="0.3">
      <c r="L123" s="68"/>
    </row>
    <row r="124" spans="12:12" x14ac:dyDescent="0.3">
      <c r="L124" s="68"/>
    </row>
    <row r="125" spans="12:12" x14ac:dyDescent="0.3">
      <c r="L125" s="68"/>
    </row>
    <row r="126" spans="12:12" x14ac:dyDescent="0.3">
      <c r="L126" s="68"/>
    </row>
    <row r="127" spans="12:12" x14ac:dyDescent="0.3">
      <c r="L127" s="68"/>
    </row>
    <row r="128" spans="12:12" x14ac:dyDescent="0.3">
      <c r="L128" s="68"/>
    </row>
    <row r="129" spans="12:12" x14ac:dyDescent="0.3">
      <c r="L129" s="68"/>
    </row>
    <row r="130" spans="12:12" x14ac:dyDescent="0.3">
      <c r="L130" s="68"/>
    </row>
    <row r="131" spans="12:12" x14ac:dyDescent="0.3">
      <c r="L131" s="68"/>
    </row>
    <row r="132" spans="12:12" x14ac:dyDescent="0.3">
      <c r="L132" s="68"/>
    </row>
    <row r="133" spans="12:12" x14ac:dyDescent="0.3">
      <c r="L133" s="68"/>
    </row>
    <row r="134" spans="12:12" x14ac:dyDescent="0.3">
      <c r="L134" s="68"/>
    </row>
    <row r="135" spans="12:12" x14ac:dyDescent="0.3">
      <c r="L135" s="68"/>
    </row>
    <row r="136" spans="12:12" x14ac:dyDescent="0.3">
      <c r="L136" s="68"/>
    </row>
    <row r="137" spans="12:12" x14ac:dyDescent="0.3">
      <c r="L137" s="68"/>
    </row>
    <row r="138" spans="12:12" x14ac:dyDescent="0.3">
      <c r="L138" s="68"/>
    </row>
    <row r="139" spans="12:12" x14ac:dyDescent="0.3">
      <c r="L139" s="68"/>
    </row>
    <row r="140" spans="12:12" x14ac:dyDescent="0.3">
      <c r="L140" s="68"/>
    </row>
    <row r="141" spans="12:12" x14ac:dyDescent="0.3">
      <c r="L141" s="68"/>
    </row>
    <row r="142" spans="12:12" x14ac:dyDescent="0.3">
      <c r="L142" s="68"/>
    </row>
    <row r="143" spans="12:12" x14ac:dyDescent="0.3">
      <c r="L143" s="68"/>
    </row>
    <row r="144" spans="12:12" x14ac:dyDescent="0.3">
      <c r="L144" s="68"/>
    </row>
    <row r="145" spans="12:12" x14ac:dyDescent="0.3">
      <c r="L145" s="68"/>
    </row>
    <row r="146" spans="12:12" x14ac:dyDescent="0.3">
      <c r="L146" s="68"/>
    </row>
    <row r="147" spans="12:12" x14ac:dyDescent="0.3">
      <c r="L147" s="68"/>
    </row>
    <row r="148" spans="12:12" x14ac:dyDescent="0.3">
      <c r="L148" s="68"/>
    </row>
    <row r="149" spans="12:12" x14ac:dyDescent="0.3">
      <c r="L149" s="68"/>
    </row>
    <row r="150" spans="12:12" x14ac:dyDescent="0.3">
      <c r="L150" s="68"/>
    </row>
    <row r="151" spans="12:12" x14ac:dyDescent="0.3">
      <c r="L151" s="68"/>
    </row>
    <row r="152" spans="12:12" x14ac:dyDescent="0.3">
      <c r="L152" s="68"/>
    </row>
    <row r="153" spans="12:12" x14ac:dyDescent="0.3">
      <c r="L153" s="68"/>
    </row>
    <row r="154" spans="12:12" x14ac:dyDescent="0.3">
      <c r="L154" s="68"/>
    </row>
    <row r="155" spans="12:12" x14ac:dyDescent="0.3">
      <c r="L155" s="68"/>
    </row>
    <row r="156" spans="12:12" x14ac:dyDescent="0.3">
      <c r="L156" s="68"/>
    </row>
    <row r="157" spans="12:12" x14ac:dyDescent="0.3">
      <c r="L157" s="68"/>
    </row>
    <row r="158" spans="12:12" x14ac:dyDescent="0.3">
      <c r="L158" s="68"/>
    </row>
    <row r="159" spans="12:12" x14ac:dyDescent="0.3">
      <c r="L159" s="68"/>
    </row>
    <row r="160" spans="12:12" x14ac:dyDescent="0.3">
      <c r="L160" s="68"/>
    </row>
    <row r="161" spans="12:12" x14ac:dyDescent="0.3">
      <c r="L161" s="68"/>
    </row>
    <row r="162" spans="12:12" x14ac:dyDescent="0.3">
      <c r="L162" s="68"/>
    </row>
    <row r="163" spans="12:12" x14ac:dyDescent="0.3">
      <c r="L163" s="68"/>
    </row>
    <row r="164" spans="12:12" x14ac:dyDescent="0.3">
      <c r="L164" s="68"/>
    </row>
    <row r="165" spans="12:12" x14ac:dyDescent="0.3">
      <c r="L165" s="68"/>
    </row>
    <row r="166" spans="12:12" x14ac:dyDescent="0.3">
      <c r="L166" s="68"/>
    </row>
    <row r="167" spans="12:12" x14ac:dyDescent="0.3">
      <c r="L167" s="68"/>
    </row>
    <row r="168" spans="12:12" x14ac:dyDescent="0.3">
      <c r="L168" s="68"/>
    </row>
    <row r="169" spans="12:12" x14ac:dyDescent="0.3">
      <c r="L169" s="68"/>
    </row>
    <row r="170" spans="12:12" x14ac:dyDescent="0.3">
      <c r="L170" s="68"/>
    </row>
    <row r="171" spans="12:12" x14ac:dyDescent="0.3">
      <c r="L171" s="68"/>
    </row>
    <row r="172" spans="12:12" x14ac:dyDescent="0.3">
      <c r="L172" s="68"/>
    </row>
    <row r="173" spans="12:12" x14ac:dyDescent="0.3">
      <c r="L173" s="68"/>
    </row>
    <row r="174" spans="12:12" x14ac:dyDescent="0.3">
      <c r="L174" s="68"/>
    </row>
    <row r="175" spans="12:12" x14ac:dyDescent="0.3">
      <c r="L175" s="68"/>
    </row>
    <row r="176" spans="12:12" x14ac:dyDescent="0.3">
      <c r="L176" s="68"/>
    </row>
    <row r="177" spans="12:12" x14ac:dyDescent="0.3">
      <c r="L177" s="68"/>
    </row>
    <row r="178" spans="12:12" x14ac:dyDescent="0.3">
      <c r="L178" s="68"/>
    </row>
    <row r="179" spans="12:12" x14ac:dyDescent="0.3">
      <c r="L179" s="68"/>
    </row>
    <row r="180" spans="12:12" x14ac:dyDescent="0.3">
      <c r="L180" s="68"/>
    </row>
    <row r="181" spans="12:12" x14ac:dyDescent="0.3">
      <c r="L181" s="68"/>
    </row>
    <row r="182" spans="12:12" x14ac:dyDescent="0.3">
      <c r="L182" s="68"/>
    </row>
    <row r="183" spans="12:12" x14ac:dyDescent="0.3">
      <c r="L183" s="68"/>
    </row>
    <row r="184" spans="12:12" x14ac:dyDescent="0.3">
      <c r="L184" s="68"/>
    </row>
    <row r="185" spans="12:12" x14ac:dyDescent="0.3">
      <c r="L185" s="68"/>
    </row>
    <row r="186" spans="12:12" x14ac:dyDescent="0.3">
      <c r="L186" s="68"/>
    </row>
    <row r="187" spans="12:12" x14ac:dyDescent="0.3">
      <c r="L187" s="68"/>
    </row>
    <row r="188" spans="12:12" x14ac:dyDescent="0.3">
      <c r="L188" s="68"/>
    </row>
    <row r="189" spans="12:12" x14ac:dyDescent="0.3">
      <c r="L189" s="68"/>
    </row>
    <row r="190" spans="12:12" x14ac:dyDescent="0.3">
      <c r="L190" s="68"/>
    </row>
    <row r="191" spans="12:12" x14ac:dyDescent="0.3">
      <c r="L191" s="68"/>
    </row>
    <row r="192" spans="12:12" x14ac:dyDescent="0.3">
      <c r="L192" s="68"/>
    </row>
    <row r="193" spans="12:12" x14ac:dyDescent="0.3">
      <c r="L193" s="68"/>
    </row>
    <row r="194" spans="12:12" x14ac:dyDescent="0.3">
      <c r="L194" s="68"/>
    </row>
    <row r="195" spans="12:12" x14ac:dyDescent="0.3">
      <c r="L195" s="68"/>
    </row>
    <row r="196" spans="12:12" x14ac:dyDescent="0.3">
      <c r="L196" s="68"/>
    </row>
    <row r="197" spans="12:12" x14ac:dyDescent="0.3">
      <c r="L197" s="68"/>
    </row>
    <row r="198" spans="12:12" x14ac:dyDescent="0.3">
      <c r="L198" s="68"/>
    </row>
    <row r="199" spans="12:12" x14ac:dyDescent="0.3">
      <c r="L199" s="68"/>
    </row>
    <row r="200" spans="12:12" x14ac:dyDescent="0.3">
      <c r="L200" s="68"/>
    </row>
    <row r="201" spans="12:12" x14ac:dyDescent="0.3">
      <c r="L201" s="68"/>
    </row>
    <row r="202" spans="12:12" x14ac:dyDescent="0.3">
      <c r="L202" s="68"/>
    </row>
    <row r="203" spans="12:12" x14ac:dyDescent="0.3">
      <c r="L203" s="68"/>
    </row>
    <row r="204" spans="12:12" x14ac:dyDescent="0.3">
      <c r="L204" s="68"/>
    </row>
    <row r="205" spans="12:12" x14ac:dyDescent="0.3">
      <c r="L205" s="68"/>
    </row>
    <row r="206" spans="12:12" x14ac:dyDescent="0.3">
      <c r="L206" s="68"/>
    </row>
    <row r="207" spans="12:12" x14ac:dyDescent="0.3">
      <c r="L207" s="68"/>
    </row>
    <row r="208" spans="12:12" x14ac:dyDescent="0.3">
      <c r="L208" s="68"/>
    </row>
    <row r="209" spans="12:12" x14ac:dyDescent="0.3">
      <c r="L209" s="68"/>
    </row>
    <row r="210" spans="12:12" x14ac:dyDescent="0.3">
      <c r="L210" s="68"/>
    </row>
    <row r="211" spans="12:12" x14ac:dyDescent="0.3">
      <c r="L211" s="68"/>
    </row>
    <row r="212" spans="12:12" x14ac:dyDescent="0.3">
      <c r="L212" s="68"/>
    </row>
    <row r="213" spans="12:12" x14ac:dyDescent="0.3">
      <c r="L213" s="68"/>
    </row>
    <row r="214" spans="12:12" x14ac:dyDescent="0.3">
      <c r="L214" s="68"/>
    </row>
    <row r="215" spans="12:12" x14ac:dyDescent="0.3">
      <c r="L215" s="68"/>
    </row>
    <row r="216" spans="12:12" x14ac:dyDescent="0.3">
      <c r="L216" s="68"/>
    </row>
    <row r="217" spans="12:12" x14ac:dyDescent="0.3">
      <c r="L217" s="68"/>
    </row>
    <row r="218" spans="12:12" x14ac:dyDescent="0.3">
      <c r="L218" s="68"/>
    </row>
    <row r="219" spans="12:12" x14ac:dyDescent="0.3">
      <c r="L219" s="68"/>
    </row>
    <row r="220" spans="12:12" x14ac:dyDescent="0.3">
      <c r="L220" s="68"/>
    </row>
    <row r="221" spans="12:12" x14ac:dyDescent="0.3">
      <c r="L221" s="68"/>
    </row>
    <row r="222" spans="12:12" x14ac:dyDescent="0.3">
      <c r="L222" s="68"/>
    </row>
    <row r="223" spans="12:12" x14ac:dyDescent="0.3">
      <c r="L223" s="68"/>
    </row>
    <row r="224" spans="12:12" x14ac:dyDescent="0.3">
      <c r="L224" s="68"/>
    </row>
    <row r="225" spans="12:12" x14ac:dyDescent="0.3">
      <c r="L225" s="68"/>
    </row>
    <row r="226" spans="12:12" x14ac:dyDescent="0.3">
      <c r="L226" s="68"/>
    </row>
    <row r="227" spans="12:12" x14ac:dyDescent="0.3">
      <c r="L227" s="68"/>
    </row>
    <row r="228" spans="12:12" x14ac:dyDescent="0.3">
      <c r="L228" s="68"/>
    </row>
    <row r="229" spans="12:12" x14ac:dyDescent="0.3">
      <c r="L229" s="68"/>
    </row>
    <row r="230" spans="12:12" x14ac:dyDescent="0.3">
      <c r="L230" s="68"/>
    </row>
    <row r="231" spans="12:12" x14ac:dyDescent="0.3">
      <c r="L231" s="68"/>
    </row>
    <row r="232" spans="12:12" x14ac:dyDescent="0.3">
      <c r="L232" s="68"/>
    </row>
    <row r="233" spans="12:12" x14ac:dyDescent="0.3">
      <c r="L233" s="68"/>
    </row>
    <row r="234" spans="12:12" x14ac:dyDescent="0.3">
      <c r="L234" s="68"/>
    </row>
    <row r="235" spans="12:12" x14ac:dyDescent="0.3">
      <c r="L235" s="68"/>
    </row>
    <row r="236" spans="12:12" x14ac:dyDescent="0.3">
      <c r="L236" s="68"/>
    </row>
    <row r="237" spans="12:12" x14ac:dyDescent="0.3">
      <c r="L237" s="68"/>
    </row>
    <row r="238" spans="12:12" x14ac:dyDescent="0.3">
      <c r="L238" s="68"/>
    </row>
    <row r="239" spans="12:12" x14ac:dyDescent="0.3">
      <c r="L239" s="68"/>
    </row>
    <row r="240" spans="12:12" x14ac:dyDescent="0.3">
      <c r="L240" s="68"/>
    </row>
    <row r="241" spans="12:12" x14ac:dyDescent="0.3">
      <c r="L241" s="68"/>
    </row>
    <row r="242" spans="12:12" x14ac:dyDescent="0.3">
      <c r="L242" s="68"/>
    </row>
    <row r="243" spans="12:12" x14ac:dyDescent="0.3">
      <c r="L243" s="68"/>
    </row>
    <row r="244" spans="12:12" x14ac:dyDescent="0.3">
      <c r="L244" s="68"/>
    </row>
    <row r="245" spans="12:12" x14ac:dyDescent="0.3">
      <c r="L245" s="68"/>
    </row>
    <row r="246" spans="12:12" x14ac:dyDescent="0.3">
      <c r="L246" s="68"/>
    </row>
    <row r="247" spans="12:12" x14ac:dyDescent="0.3">
      <c r="L247" s="68"/>
    </row>
    <row r="248" spans="12:12" x14ac:dyDescent="0.3">
      <c r="L248" s="68"/>
    </row>
    <row r="249" spans="12:12" x14ac:dyDescent="0.3">
      <c r="L249" s="68"/>
    </row>
    <row r="250" spans="12:12" x14ac:dyDescent="0.3">
      <c r="L250" s="68"/>
    </row>
    <row r="251" spans="12:12" x14ac:dyDescent="0.3">
      <c r="L251" s="68"/>
    </row>
    <row r="252" spans="12:12" x14ac:dyDescent="0.3">
      <c r="L252" s="68"/>
    </row>
    <row r="253" spans="12:12" x14ac:dyDescent="0.3">
      <c r="L253" s="68"/>
    </row>
    <row r="254" spans="12:12" x14ac:dyDescent="0.3">
      <c r="L254" s="68"/>
    </row>
    <row r="255" spans="12:12" x14ac:dyDescent="0.3">
      <c r="L255" s="68"/>
    </row>
    <row r="256" spans="12:12" x14ac:dyDescent="0.3">
      <c r="L256" s="68"/>
    </row>
    <row r="257" spans="12:12" x14ac:dyDescent="0.3">
      <c r="L257" s="68"/>
    </row>
    <row r="258" spans="12:12" x14ac:dyDescent="0.3">
      <c r="L258" s="68"/>
    </row>
    <row r="259" spans="12:12" x14ac:dyDescent="0.3">
      <c r="L259" s="68"/>
    </row>
    <row r="260" spans="12:12" x14ac:dyDescent="0.3">
      <c r="L260" s="68"/>
    </row>
    <row r="261" spans="12:12" x14ac:dyDescent="0.3">
      <c r="L261" s="68"/>
    </row>
    <row r="262" spans="12:12" x14ac:dyDescent="0.3">
      <c r="L262" s="68"/>
    </row>
    <row r="263" spans="12:12" x14ac:dyDescent="0.3">
      <c r="L263" s="68"/>
    </row>
    <row r="264" spans="12:12" x14ac:dyDescent="0.3">
      <c r="L264" s="68"/>
    </row>
    <row r="265" spans="12:12" x14ac:dyDescent="0.3">
      <c r="L265" s="68"/>
    </row>
    <row r="266" spans="12:12" x14ac:dyDescent="0.3">
      <c r="L266" s="68"/>
    </row>
    <row r="267" spans="12:12" x14ac:dyDescent="0.3">
      <c r="L267" s="68"/>
    </row>
    <row r="268" spans="12:12" x14ac:dyDescent="0.3">
      <c r="L268" s="68"/>
    </row>
    <row r="269" spans="12:12" x14ac:dyDescent="0.3">
      <c r="L269" s="68"/>
    </row>
    <row r="270" spans="12:12" x14ac:dyDescent="0.3">
      <c r="L270" s="68"/>
    </row>
    <row r="271" spans="12:12" x14ac:dyDescent="0.3">
      <c r="L271" s="68"/>
    </row>
    <row r="272" spans="12:12" x14ac:dyDescent="0.3">
      <c r="L272" s="68"/>
    </row>
    <row r="273" spans="12:12" x14ac:dyDescent="0.3">
      <c r="L273" s="68"/>
    </row>
    <row r="274" spans="12:12" x14ac:dyDescent="0.3">
      <c r="L274" s="68"/>
    </row>
    <row r="275" spans="12:12" x14ac:dyDescent="0.3">
      <c r="L275" s="68"/>
    </row>
    <row r="276" spans="12:12" x14ac:dyDescent="0.3">
      <c r="L276" s="68"/>
    </row>
    <row r="277" spans="12:12" x14ac:dyDescent="0.3">
      <c r="L277" s="68"/>
    </row>
    <row r="278" spans="12:12" x14ac:dyDescent="0.3">
      <c r="L278" s="68"/>
    </row>
    <row r="279" spans="12:12" x14ac:dyDescent="0.3">
      <c r="L279" s="68"/>
    </row>
    <row r="280" spans="12:12" x14ac:dyDescent="0.3">
      <c r="L280" s="68"/>
    </row>
    <row r="281" spans="12:12" x14ac:dyDescent="0.3">
      <c r="L281" s="68"/>
    </row>
    <row r="282" spans="12:12" x14ac:dyDescent="0.3">
      <c r="L282" s="68"/>
    </row>
    <row r="283" spans="12:12" x14ac:dyDescent="0.3">
      <c r="L283" s="68"/>
    </row>
    <row r="284" spans="12:12" x14ac:dyDescent="0.3">
      <c r="L284" s="68"/>
    </row>
    <row r="285" spans="12:12" x14ac:dyDescent="0.3">
      <c r="L285" s="68"/>
    </row>
    <row r="286" spans="12:12" x14ac:dyDescent="0.3">
      <c r="L286" s="68"/>
    </row>
    <row r="287" spans="12:12" x14ac:dyDescent="0.3">
      <c r="L287" s="68"/>
    </row>
    <row r="288" spans="12:12" x14ac:dyDescent="0.3">
      <c r="L288" s="68"/>
    </row>
    <row r="289" spans="12:12" x14ac:dyDescent="0.3">
      <c r="L289" s="68"/>
    </row>
    <row r="290" spans="12:12" x14ac:dyDescent="0.3">
      <c r="L290" s="68"/>
    </row>
    <row r="291" spans="12:12" x14ac:dyDescent="0.3">
      <c r="L291" s="68"/>
    </row>
    <row r="292" spans="12:12" x14ac:dyDescent="0.3">
      <c r="L292" s="68"/>
    </row>
    <row r="293" spans="12:12" x14ac:dyDescent="0.3">
      <c r="L293" s="68"/>
    </row>
    <row r="294" spans="12:12" x14ac:dyDescent="0.3">
      <c r="L294" s="68"/>
    </row>
    <row r="295" spans="12:12" x14ac:dyDescent="0.3">
      <c r="L295" s="68"/>
    </row>
    <row r="296" spans="12:12" x14ac:dyDescent="0.3">
      <c r="L296" s="68"/>
    </row>
    <row r="297" spans="12:12" x14ac:dyDescent="0.3">
      <c r="L297" s="68"/>
    </row>
    <row r="298" spans="12:12" x14ac:dyDescent="0.3">
      <c r="L298" s="68"/>
    </row>
    <row r="299" spans="12:12" x14ac:dyDescent="0.3">
      <c r="L299" s="68"/>
    </row>
    <row r="300" spans="12:12" x14ac:dyDescent="0.3">
      <c r="L300" s="68"/>
    </row>
    <row r="301" spans="12:12" x14ac:dyDescent="0.3">
      <c r="L301" s="68"/>
    </row>
    <row r="302" spans="12:12" x14ac:dyDescent="0.3">
      <c r="L302" s="68"/>
    </row>
    <row r="303" spans="12:12" x14ac:dyDescent="0.3">
      <c r="L303" s="68"/>
    </row>
    <row r="304" spans="12:12" x14ac:dyDescent="0.3">
      <c r="L304" s="68"/>
    </row>
    <row r="305" spans="12:12" x14ac:dyDescent="0.3">
      <c r="L305" s="68"/>
    </row>
    <row r="306" spans="12:12" x14ac:dyDescent="0.3">
      <c r="L306" s="68"/>
    </row>
    <row r="307" spans="12:12" x14ac:dyDescent="0.3">
      <c r="L307" s="68"/>
    </row>
    <row r="308" spans="12:12" x14ac:dyDescent="0.3">
      <c r="L308" s="68"/>
    </row>
    <row r="309" spans="12:12" x14ac:dyDescent="0.3">
      <c r="L309" s="68"/>
    </row>
    <row r="310" spans="12:12" x14ac:dyDescent="0.3">
      <c r="L310" s="68"/>
    </row>
    <row r="311" spans="12:12" x14ac:dyDescent="0.3">
      <c r="L311" s="68"/>
    </row>
    <row r="312" spans="12:12" x14ac:dyDescent="0.3">
      <c r="L312" s="68"/>
    </row>
    <row r="313" spans="12:12" x14ac:dyDescent="0.3">
      <c r="L313" s="68"/>
    </row>
    <row r="314" spans="12:12" x14ac:dyDescent="0.3">
      <c r="L314" s="68"/>
    </row>
    <row r="315" spans="12:12" x14ac:dyDescent="0.3">
      <c r="L315" s="68"/>
    </row>
    <row r="316" spans="12:12" x14ac:dyDescent="0.3">
      <c r="L316" s="68"/>
    </row>
    <row r="317" spans="12:12" x14ac:dyDescent="0.3">
      <c r="L317" s="68"/>
    </row>
    <row r="318" spans="12:12" x14ac:dyDescent="0.3">
      <c r="L318" s="68"/>
    </row>
    <row r="319" spans="12:12" x14ac:dyDescent="0.3">
      <c r="L319" s="68"/>
    </row>
    <row r="320" spans="12:12" x14ac:dyDescent="0.3">
      <c r="L320" s="68"/>
    </row>
    <row r="321" spans="12:12" x14ac:dyDescent="0.3">
      <c r="L321" s="68"/>
    </row>
    <row r="322" spans="12:12" x14ac:dyDescent="0.3">
      <c r="L322" s="68"/>
    </row>
    <row r="323" spans="12:12" x14ac:dyDescent="0.3">
      <c r="L323" s="68"/>
    </row>
    <row r="324" spans="12:12" x14ac:dyDescent="0.3">
      <c r="L324" s="68"/>
    </row>
    <row r="325" spans="12:12" x14ac:dyDescent="0.3">
      <c r="L325" s="68"/>
    </row>
    <row r="326" spans="12:12" x14ac:dyDescent="0.3">
      <c r="L326" s="68"/>
    </row>
    <row r="327" spans="12:12" x14ac:dyDescent="0.3">
      <c r="L327" s="68"/>
    </row>
    <row r="328" spans="12:12" x14ac:dyDescent="0.3">
      <c r="L328" s="68"/>
    </row>
    <row r="329" spans="12:12" x14ac:dyDescent="0.3">
      <c r="L329" s="68"/>
    </row>
    <row r="330" spans="12:12" x14ac:dyDescent="0.3">
      <c r="L330" s="68"/>
    </row>
    <row r="331" spans="12:12" x14ac:dyDescent="0.3">
      <c r="L331" s="68"/>
    </row>
    <row r="332" spans="12:12" x14ac:dyDescent="0.3">
      <c r="L332" s="68"/>
    </row>
    <row r="333" spans="12:12" x14ac:dyDescent="0.3">
      <c r="L333" s="68"/>
    </row>
    <row r="334" spans="12:12" x14ac:dyDescent="0.3">
      <c r="L334" s="68"/>
    </row>
    <row r="335" spans="12:12" x14ac:dyDescent="0.3">
      <c r="L335" s="68"/>
    </row>
    <row r="336" spans="12:12" x14ac:dyDescent="0.3">
      <c r="L336" s="68"/>
    </row>
    <row r="337" spans="12:12" x14ac:dyDescent="0.3">
      <c r="L337" s="68"/>
    </row>
    <row r="338" spans="12:12" x14ac:dyDescent="0.3">
      <c r="L338" s="68"/>
    </row>
    <row r="339" spans="12:12" x14ac:dyDescent="0.3">
      <c r="L339" s="68"/>
    </row>
    <row r="340" spans="12:12" x14ac:dyDescent="0.3">
      <c r="L340" s="68"/>
    </row>
    <row r="341" spans="12:12" x14ac:dyDescent="0.3">
      <c r="L341" s="68"/>
    </row>
    <row r="342" spans="12:12" x14ac:dyDescent="0.3">
      <c r="L342" s="68"/>
    </row>
    <row r="343" spans="12:12" x14ac:dyDescent="0.3">
      <c r="L343" s="68"/>
    </row>
    <row r="344" spans="12:12" x14ac:dyDescent="0.3">
      <c r="L344" s="68"/>
    </row>
    <row r="345" spans="12:12" x14ac:dyDescent="0.3">
      <c r="L345" s="68"/>
    </row>
    <row r="346" spans="12:12" x14ac:dyDescent="0.3">
      <c r="L346" s="68"/>
    </row>
    <row r="347" spans="12:12" x14ac:dyDescent="0.3">
      <c r="L347" s="68"/>
    </row>
    <row r="348" spans="12:12" x14ac:dyDescent="0.3">
      <c r="L348" s="68"/>
    </row>
    <row r="349" spans="12:12" x14ac:dyDescent="0.3">
      <c r="L349" s="68"/>
    </row>
    <row r="350" spans="12:12" x14ac:dyDescent="0.3">
      <c r="L350" s="68"/>
    </row>
    <row r="351" spans="12:12" x14ac:dyDescent="0.3">
      <c r="L351" s="68"/>
    </row>
    <row r="352" spans="12:12" x14ac:dyDescent="0.3">
      <c r="L352" s="68"/>
    </row>
    <row r="353" spans="12:12" x14ac:dyDescent="0.3">
      <c r="L353" s="68"/>
    </row>
    <row r="354" spans="12:12" x14ac:dyDescent="0.3">
      <c r="L354" s="68"/>
    </row>
    <row r="355" spans="12:12" x14ac:dyDescent="0.3">
      <c r="L355" s="68"/>
    </row>
    <row r="356" spans="12:12" x14ac:dyDescent="0.3">
      <c r="L356" s="68"/>
    </row>
    <row r="357" spans="12:12" x14ac:dyDescent="0.3">
      <c r="L357" s="68"/>
    </row>
    <row r="358" spans="12:12" x14ac:dyDescent="0.3">
      <c r="L358" s="68"/>
    </row>
    <row r="359" spans="12:12" x14ac:dyDescent="0.3">
      <c r="L359" s="68"/>
    </row>
    <row r="360" spans="12:12" x14ac:dyDescent="0.3">
      <c r="L360" s="68"/>
    </row>
    <row r="361" spans="12:12" x14ac:dyDescent="0.3">
      <c r="L361" s="68"/>
    </row>
    <row r="362" spans="12:12" x14ac:dyDescent="0.3">
      <c r="L362" s="68"/>
    </row>
    <row r="363" spans="12:12" x14ac:dyDescent="0.3">
      <c r="L363" s="68"/>
    </row>
    <row r="364" spans="12:12" x14ac:dyDescent="0.3">
      <c r="L364" s="68"/>
    </row>
    <row r="365" spans="12:12" x14ac:dyDescent="0.3">
      <c r="L365" s="68"/>
    </row>
    <row r="366" spans="12:12" x14ac:dyDescent="0.3">
      <c r="L366" s="68"/>
    </row>
    <row r="367" spans="12:12" x14ac:dyDescent="0.3">
      <c r="L367" s="68"/>
    </row>
    <row r="368" spans="12:12" x14ac:dyDescent="0.3">
      <c r="L368" s="68"/>
    </row>
    <row r="369" spans="12:12" x14ac:dyDescent="0.3">
      <c r="L369" s="68"/>
    </row>
    <row r="370" spans="12:12" x14ac:dyDescent="0.3">
      <c r="L370" s="68"/>
    </row>
    <row r="371" spans="12:12" x14ac:dyDescent="0.3">
      <c r="L371" s="68"/>
    </row>
    <row r="372" spans="12:12" x14ac:dyDescent="0.3">
      <c r="L372" s="68"/>
    </row>
    <row r="373" spans="12:12" x14ac:dyDescent="0.3">
      <c r="L373" s="68"/>
    </row>
    <row r="374" spans="12:12" x14ac:dyDescent="0.3">
      <c r="L374" s="68"/>
    </row>
    <row r="375" spans="12:12" x14ac:dyDescent="0.3">
      <c r="L375" s="68"/>
    </row>
    <row r="376" spans="12:12" x14ac:dyDescent="0.3">
      <c r="L376" s="68"/>
    </row>
    <row r="377" spans="12:12" x14ac:dyDescent="0.3">
      <c r="L377" s="68"/>
    </row>
    <row r="378" spans="12:12" x14ac:dyDescent="0.3">
      <c r="L378" s="68"/>
    </row>
    <row r="379" spans="12:12" x14ac:dyDescent="0.3">
      <c r="L379" s="68"/>
    </row>
    <row r="380" spans="12:12" x14ac:dyDescent="0.3">
      <c r="L380" s="68"/>
    </row>
    <row r="381" spans="12:12" x14ac:dyDescent="0.3">
      <c r="L381" s="68"/>
    </row>
    <row r="382" spans="12:12" x14ac:dyDescent="0.3">
      <c r="L382" s="68"/>
    </row>
    <row r="383" spans="12:12" x14ac:dyDescent="0.3">
      <c r="L383" s="68"/>
    </row>
    <row r="384" spans="12:12" x14ac:dyDescent="0.3">
      <c r="L384" s="68"/>
    </row>
    <row r="385" spans="12:12" x14ac:dyDescent="0.3">
      <c r="L385" s="68"/>
    </row>
    <row r="386" spans="12:12" x14ac:dyDescent="0.3">
      <c r="L386" s="68"/>
    </row>
    <row r="387" spans="12:12" x14ac:dyDescent="0.3">
      <c r="L387" s="68"/>
    </row>
    <row r="388" spans="12:12" x14ac:dyDescent="0.3">
      <c r="L388" s="68"/>
    </row>
    <row r="389" spans="12:12" x14ac:dyDescent="0.3">
      <c r="L389" s="68"/>
    </row>
    <row r="390" spans="12:12" x14ac:dyDescent="0.3">
      <c r="L390" s="68"/>
    </row>
    <row r="391" spans="12:12" x14ac:dyDescent="0.3">
      <c r="L391" s="68"/>
    </row>
    <row r="392" spans="12:12" x14ac:dyDescent="0.3">
      <c r="L392" s="68"/>
    </row>
    <row r="393" spans="12:12" x14ac:dyDescent="0.3">
      <c r="L393" s="68"/>
    </row>
    <row r="394" spans="12:12" x14ac:dyDescent="0.3">
      <c r="L394" s="68"/>
    </row>
    <row r="395" spans="12:12" x14ac:dyDescent="0.3">
      <c r="L395" s="68"/>
    </row>
    <row r="396" spans="12:12" x14ac:dyDescent="0.3">
      <c r="L396" s="68"/>
    </row>
    <row r="397" spans="12:12" x14ac:dyDescent="0.3">
      <c r="L397" s="68"/>
    </row>
    <row r="398" spans="12:12" x14ac:dyDescent="0.3">
      <c r="L398" s="68"/>
    </row>
    <row r="399" spans="12:12" x14ac:dyDescent="0.3">
      <c r="L399" s="68"/>
    </row>
    <row r="400" spans="12:12" x14ac:dyDescent="0.3">
      <c r="L400" s="68"/>
    </row>
    <row r="401" spans="12:12" x14ac:dyDescent="0.3">
      <c r="L401" s="68"/>
    </row>
    <row r="402" spans="12:12" x14ac:dyDescent="0.3">
      <c r="L402" s="68"/>
    </row>
    <row r="403" spans="12:12" x14ac:dyDescent="0.3">
      <c r="L403" s="68"/>
    </row>
    <row r="404" spans="12:12" x14ac:dyDescent="0.3">
      <c r="L404" s="68"/>
    </row>
    <row r="405" spans="12:12" x14ac:dyDescent="0.3">
      <c r="L405" s="68"/>
    </row>
    <row r="406" spans="12:12" x14ac:dyDescent="0.3">
      <c r="L406" s="68"/>
    </row>
    <row r="407" spans="12:12" x14ac:dyDescent="0.3">
      <c r="L407" s="68"/>
    </row>
    <row r="408" spans="12:12" x14ac:dyDescent="0.3">
      <c r="L408" s="68"/>
    </row>
    <row r="409" spans="12:12" x14ac:dyDescent="0.3">
      <c r="L409" s="68"/>
    </row>
    <row r="410" spans="12:12" x14ac:dyDescent="0.3">
      <c r="L410" s="68"/>
    </row>
    <row r="411" spans="12:12" x14ac:dyDescent="0.3">
      <c r="L411" s="68"/>
    </row>
    <row r="412" spans="12:12" x14ac:dyDescent="0.3">
      <c r="L412" s="68"/>
    </row>
    <row r="413" spans="12:12" x14ac:dyDescent="0.3">
      <c r="L413" s="68"/>
    </row>
    <row r="414" spans="12:12" x14ac:dyDescent="0.3">
      <c r="L414" s="68"/>
    </row>
    <row r="415" spans="12:12" x14ac:dyDescent="0.3">
      <c r="L415" s="68"/>
    </row>
    <row r="416" spans="12:12" x14ac:dyDescent="0.3">
      <c r="L416" s="68"/>
    </row>
    <row r="417" spans="12:12" x14ac:dyDescent="0.3">
      <c r="L417" s="68"/>
    </row>
    <row r="418" spans="12:12" x14ac:dyDescent="0.3">
      <c r="L418" s="68"/>
    </row>
    <row r="419" spans="12:12" x14ac:dyDescent="0.3">
      <c r="L419" s="68"/>
    </row>
    <row r="420" spans="12:12" x14ac:dyDescent="0.3">
      <c r="L420" s="68"/>
    </row>
    <row r="421" spans="12:12" x14ac:dyDescent="0.3">
      <c r="L421" s="68"/>
    </row>
    <row r="422" spans="12:12" x14ac:dyDescent="0.3">
      <c r="L422" s="68"/>
    </row>
    <row r="423" spans="12:12" x14ac:dyDescent="0.3">
      <c r="L423" s="68"/>
    </row>
    <row r="424" spans="12:12" x14ac:dyDescent="0.3">
      <c r="L424" s="68"/>
    </row>
    <row r="425" spans="12:12" x14ac:dyDescent="0.3">
      <c r="L425" s="68"/>
    </row>
    <row r="426" spans="12:12" x14ac:dyDescent="0.3">
      <c r="L426" s="68"/>
    </row>
    <row r="427" spans="12:12" x14ac:dyDescent="0.3">
      <c r="L427" s="68"/>
    </row>
    <row r="428" spans="12:12" x14ac:dyDescent="0.3">
      <c r="L428" s="68"/>
    </row>
    <row r="429" spans="12:12" x14ac:dyDescent="0.3">
      <c r="L429" s="68"/>
    </row>
    <row r="430" spans="12:12" x14ac:dyDescent="0.3">
      <c r="L430" s="68"/>
    </row>
    <row r="431" spans="12:12" x14ac:dyDescent="0.3">
      <c r="L431" s="68"/>
    </row>
    <row r="432" spans="12:12" x14ac:dyDescent="0.3">
      <c r="L432" s="68"/>
    </row>
    <row r="433" spans="12:12" x14ac:dyDescent="0.3">
      <c r="L433" s="68"/>
    </row>
    <row r="434" spans="12:12" x14ac:dyDescent="0.3">
      <c r="L434" s="68"/>
    </row>
    <row r="435" spans="12:12" x14ac:dyDescent="0.3">
      <c r="L435" s="68"/>
    </row>
    <row r="436" spans="12:12" x14ac:dyDescent="0.3">
      <c r="L436" s="68"/>
    </row>
    <row r="437" spans="12:12" x14ac:dyDescent="0.3">
      <c r="L437" s="68"/>
    </row>
    <row r="438" spans="12:12" x14ac:dyDescent="0.3">
      <c r="L438" s="68"/>
    </row>
    <row r="439" spans="12:12" x14ac:dyDescent="0.3">
      <c r="L439" s="68"/>
    </row>
    <row r="440" spans="12:12" x14ac:dyDescent="0.3">
      <c r="L440" s="68"/>
    </row>
    <row r="441" spans="12:12" x14ac:dyDescent="0.3">
      <c r="L441" s="68"/>
    </row>
    <row r="442" spans="12:12" x14ac:dyDescent="0.3">
      <c r="L442" s="68"/>
    </row>
    <row r="443" spans="12:12" x14ac:dyDescent="0.3">
      <c r="L443" s="68"/>
    </row>
    <row r="444" spans="12:12" x14ac:dyDescent="0.3">
      <c r="L444" s="68"/>
    </row>
    <row r="445" spans="12:12" x14ac:dyDescent="0.3">
      <c r="L445" s="68"/>
    </row>
    <row r="446" spans="12:12" x14ac:dyDescent="0.3">
      <c r="L446" s="68"/>
    </row>
    <row r="447" spans="12:12" x14ac:dyDescent="0.3">
      <c r="L447" s="68"/>
    </row>
    <row r="448" spans="12:12" x14ac:dyDescent="0.3">
      <c r="L448" s="68"/>
    </row>
    <row r="449" spans="12:12" x14ac:dyDescent="0.3">
      <c r="L449" s="68"/>
    </row>
    <row r="450" spans="12:12" x14ac:dyDescent="0.3">
      <c r="L450" s="68"/>
    </row>
    <row r="451" spans="12:12" x14ac:dyDescent="0.3">
      <c r="L451" s="68"/>
    </row>
    <row r="452" spans="12:12" x14ac:dyDescent="0.3">
      <c r="L452" s="68"/>
    </row>
    <row r="453" spans="12:12" x14ac:dyDescent="0.3">
      <c r="L453" s="68"/>
    </row>
    <row r="454" spans="12:12" x14ac:dyDescent="0.3">
      <c r="L454" s="68"/>
    </row>
    <row r="455" spans="12:12" x14ac:dyDescent="0.3">
      <c r="L455" s="68"/>
    </row>
    <row r="456" spans="12:12" x14ac:dyDescent="0.3">
      <c r="L456" s="68"/>
    </row>
    <row r="457" spans="12:12" x14ac:dyDescent="0.3">
      <c r="L457" s="68"/>
    </row>
    <row r="458" spans="12:12" x14ac:dyDescent="0.3">
      <c r="L458" s="68"/>
    </row>
    <row r="459" spans="12:12" x14ac:dyDescent="0.3">
      <c r="L459" s="68"/>
    </row>
    <row r="460" spans="12:12" x14ac:dyDescent="0.3">
      <c r="L460" s="68"/>
    </row>
    <row r="461" spans="12:12" x14ac:dyDescent="0.3">
      <c r="L461" s="68"/>
    </row>
    <row r="462" spans="12:12" x14ac:dyDescent="0.3">
      <c r="L462" s="68"/>
    </row>
    <row r="463" spans="12:12" x14ac:dyDescent="0.3">
      <c r="L463" s="68"/>
    </row>
    <row r="464" spans="12:12" x14ac:dyDescent="0.3">
      <c r="L464" s="68"/>
    </row>
    <row r="465" spans="12:12" x14ac:dyDescent="0.3">
      <c r="L465" s="68"/>
    </row>
    <row r="466" spans="12:12" x14ac:dyDescent="0.3">
      <c r="L466" s="68"/>
    </row>
    <row r="467" spans="12:12" x14ac:dyDescent="0.3">
      <c r="L467" s="68"/>
    </row>
    <row r="468" spans="12:12" x14ac:dyDescent="0.3">
      <c r="L468" s="68"/>
    </row>
    <row r="469" spans="12:12" x14ac:dyDescent="0.3">
      <c r="L469" s="68"/>
    </row>
    <row r="470" spans="12:12" x14ac:dyDescent="0.3">
      <c r="L470" s="68"/>
    </row>
    <row r="471" spans="12:12" x14ac:dyDescent="0.3">
      <c r="L471" s="68"/>
    </row>
    <row r="472" spans="12:12" x14ac:dyDescent="0.3">
      <c r="L472" s="68"/>
    </row>
    <row r="473" spans="12:12" x14ac:dyDescent="0.3">
      <c r="L473" s="68"/>
    </row>
    <row r="474" spans="12:12" x14ac:dyDescent="0.3">
      <c r="L474" s="68"/>
    </row>
    <row r="475" spans="12:12" x14ac:dyDescent="0.3">
      <c r="L475" s="68"/>
    </row>
    <row r="476" spans="12:12" x14ac:dyDescent="0.3">
      <c r="L476" s="68"/>
    </row>
    <row r="477" spans="12:12" x14ac:dyDescent="0.3">
      <c r="L477" s="68"/>
    </row>
    <row r="478" spans="12:12" x14ac:dyDescent="0.3">
      <c r="L478" s="68"/>
    </row>
    <row r="479" spans="12:12" x14ac:dyDescent="0.3">
      <c r="L479" s="68"/>
    </row>
    <row r="480" spans="12:12" x14ac:dyDescent="0.3">
      <c r="L480" s="68"/>
    </row>
    <row r="481" spans="12:12" x14ac:dyDescent="0.3">
      <c r="L481" s="68"/>
    </row>
    <row r="482" spans="12:12" x14ac:dyDescent="0.3">
      <c r="L482" s="68"/>
    </row>
    <row r="483" spans="12:12" x14ac:dyDescent="0.3">
      <c r="L483" s="68"/>
    </row>
    <row r="484" spans="12:12" x14ac:dyDescent="0.3">
      <c r="L484" s="68"/>
    </row>
    <row r="485" spans="12:12" x14ac:dyDescent="0.3">
      <c r="L485" s="68"/>
    </row>
    <row r="486" spans="12:12" x14ac:dyDescent="0.3">
      <c r="L486" s="68"/>
    </row>
    <row r="487" spans="12:12" x14ac:dyDescent="0.3">
      <c r="L487" s="68"/>
    </row>
    <row r="488" spans="12:12" x14ac:dyDescent="0.3">
      <c r="L488" s="68"/>
    </row>
    <row r="489" spans="12:12" x14ac:dyDescent="0.3">
      <c r="L489" s="68"/>
    </row>
    <row r="490" spans="12:12" x14ac:dyDescent="0.3">
      <c r="L490" s="68"/>
    </row>
    <row r="491" spans="12:12" x14ac:dyDescent="0.3">
      <c r="L491" s="68"/>
    </row>
    <row r="492" spans="12:12" x14ac:dyDescent="0.3">
      <c r="L492" s="68"/>
    </row>
    <row r="493" spans="12:12" x14ac:dyDescent="0.3">
      <c r="L493" s="68"/>
    </row>
    <row r="494" spans="12:12" x14ac:dyDescent="0.3">
      <c r="L494" s="68"/>
    </row>
    <row r="495" spans="12:12" x14ac:dyDescent="0.3">
      <c r="L495" s="68"/>
    </row>
    <row r="496" spans="12:12" x14ac:dyDescent="0.3">
      <c r="L496" s="68"/>
    </row>
    <row r="497" spans="12:12" x14ac:dyDescent="0.3">
      <c r="L497" s="68"/>
    </row>
    <row r="498" spans="12:12" x14ac:dyDescent="0.3">
      <c r="L498" s="68"/>
    </row>
    <row r="499" spans="12:12" x14ac:dyDescent="0.3">
      <c r="L499" s="68"/>
    </row>
    <row r="500" spans="12:12" x14ac:dyDescent="0.3">
      <c r="L500" s="68"/>
    </row>
    <row r="501" spans="12:12" x14ac:dyDescent="0.3">
      <c r="L501" s="68"/>
    </row>
    <row r="502" spans="12:12" x14ac:dyDescent="0.3">
      <c r="L502" s="68"/>
    </row>
    <row r="503" spans="12:12" x14ac:dyDescent="0.3">
      <c r="L503" s="68"/>
    </row>
    <row r="504" spans="12:12" x14ac:dyDescent="0.3">
      <c r="L504" s="68"/>
    </row>
    <row r="505" spans="12:12" x14ac:dyDescent="0.3">
      <c r="L505" s="68"/>
    </row>
    <row r="506" spans="12:12" x14ac:dyDescent="0.3">
      <c r="L506" s="68"/>
    </row>
    <row r="507" spans="12:12" x14ac:dyDescent="0.3">
      <c r="L507" s="68"/>
    </row>
    <row r="508" spans="12:12" x14ac:dyDescent="0.3">
      <c r="L508" s="68"/>
    </row>
    <row r="509" spans="12:12" x14ac:dyDescent="0.3">
      <c r="L509" s="68"/>
    </row>
    <row r="510" spans="12:12" x14ac:dyDescent="0.3">
      <c r="L510" s="68"/>
    </row>
    <row r="511" spans="12:12" x14ac:dyDescent="0.3">
      <c r="L511" s="68"/>
    </row>
    <row r="512" spans="12:12" x14ac:dyDescent="0.3">
      <c r="L512" s="68"/>
    </row>
    <row r="513" spans="12:12" x14ac:dyDescent="0.3">
      <c r="L513" s="68"/>
    </row>
    <row r="514" spans="12:12" x14ac:dyDescent="0.3">
      <c r="L514" s="68"/>
    </row>
    <row r="515" spans="12:12" x14ac:dyDescent="0.3">
      <c r="L515" s="68"/>
    </row>
    <row r="516" spans="12:12" x14ac:dyDescent="0.3">
      <c r="L516" s="68"/>
    </row>
    <row r="517" spans="12:12" x14ac:dyDescent="0.3">
      <c r="L517" s="68"/>
    </row>
    <row r="518" spans="12:12" x14ac:dyDescent="0.3">
      <c r="L518" s="68"/>
    </row>
    <row r="519" spans="12:12" x14ac:dyDescent="0.3">
      <c r="L519" s="68"/>
    </row>
    <row r="520" spans="12:12" x14ac:dyDescent="0.3">
      <c r="L520" s="68"/>
    </row>
    <row r="521" spans="12:12" x14ac:dyDescent="0.3">
      <c r="L521" s="68"/>
    </row>
    <row r="522" spans="12:12" x14ac:dyDescent="0.3">
      <c r="L522" s="68"/>
    </row>
    <row r="523" spans="12:12" x14ac:dyDescent="0.3">
      <c r="L523" s="68"/>
    </row>
    <row r="524" spans="12:12" x14ac:dyDescent="0.3">
      <c r="L524" s="68"/>
    </row>
    <row r="525" spans="12:12" x14ac:dyDescent="0.3">
      <c r="L525" s="68"/>
    </row>
    <row r="526" spans="12:12" x14ac:dyDescent="0.3">
      <c r="L526" s="68"/>
    </row>
    <row r="527" spans="12:12" x14ac:dyDescent="0.3">
      <c r="L527" s="68"/>
    </row>
    <row r="528" spans="12:12" x14ac:dyDescent="0.3">
      <c r="L528" s="68"/>
    </row>
    <row r="529" spans="12:12" x14ac:dyDescent="0.3">
      <c r="L529" s="68"/>
    </row>
    <row r="530" spans="12:12" x14ac:dyDescent="0.3">
      <c r="L530" s="68"/>
    </row>
    <row r="531" spans="12:12" x14ac:dyDescent="0.3">
      <c r="L531" s="68"/>
    </row>
    <row r="532" spans="12:12" x14ac:dyDescent="0.3">
      <c r="L532" s="68"/>
    </row>
    <row r="533" spans="12:12" x14ac:dyDescent="0.3">
      <c r="L533" s="68"/>
    </row>
    <row r="534" spans="12:12" x14ac:dyDescent="0.3">
      <c r="L534" s="68"/>
    </row>
    <row r="535" spans="12:12" x14ac:dyDescent="0.3">
      <c r="L535" s="68"/>
    </row>
    <row r="536" spans="12:12" x14ac:dyDescent="0.3">
      <c r="L536" s="68"/>
    </row>
    <row r="537" spans="12:12" x14ac:dyDescent="0.3">
      <c r="L537" s="68"/>
    </row>
    <row r="538" spans="12:12" x14ac:dyDescent="0.3">
      <c r="L538" s="68"/>
    </row>
    <row r="539" spans="12:12" x14ac:dyDescent="0.3">
      <c r="L539" s="68"/>
    </row>
    <row r="540" spans="12:12" x14ac:dyDescent="0.3">
      <c r="L540" s="68"/>
    </row>
    <row r="541" spans="12:12" x14ac:dyDescent="0.3">
      <c r="L541" s="68"/>
    </row>
    <row r="542" spans="12:12" x14ac:dyDescent="0.3">
      <c r="L542" s="68"/>
    </row>
    <row r="543" spans="12:12" x14ac:dyDescent="0.3">
      <c r="L543" s="68"/>
    </row>
    <row r="544" spans="12:12" x14ac:dyDescent="0.3">
      <c r="L544" s="68"/>
    </row>
    <row r="545" spans="12:12" x14ac:dyDescent="0.3">
      <c r="L545" s="68"/>
    </row>
    <row r="546" spans="12:12" x14ac:dyDescent="0.3">
      <c r="L546" s="68"/>
    </row>
    <row r="547" spans="12:12" x14ac:dyDescent="0.3">
      <c r="L547" s="68"/>
    </row>
    <row r="548" spans="12:12" x14ac:dyDescent="0.3">
      <c r="L548" s="68"/>
    </row>
    <row r="549" spans="12:12" x14ac:dyDescent="0.3">
      <c r="L549" s="68"/>
    </row>
    <row r="550" spans="12:12" x14ac:dyDescent="0.3">
      <c r="L550" s="68"/>
    </row>
    <row r="551" spans="12:12" x14ac:dyDescent="0.3">
      <c r="L551" s="68"/>
    </row>
    <row r="552" spans="12:12" x14ac:dyDescent="0.3">
      <c r="L552" s="68"/>
    </row>
    <row r="553" spans="12:12" x14ac:dyDescent="0.3">
      <c r="L553" s="68"/>
    </row>
    <row r="554" spans="12:12" x14ac:dyDescent="0.3">
      <c r="L554" s="68"/>
    </row>
    <row r="555" spans="12:12" x14ac:dyDescent="0.3">
      <c r="L555" s="68"/>
    </row>
    <row r="556" spans="12:12" x14ac:dyDescent="0.3">
      <c r="L556" s="68"/>
    </row>
    <row r="557" spans="12:12" x14ac:dyDescent="0.3">
      <c r="L557" s="68"/>
    </row>
    <row r="558" spans="12:12" x14ac:dyDescent="0.3">
      <c r="L558" s="68"/>
    </row>
    <row r="559" spans="12:12" x14ac:dyDescent="0.3">
      <c r="L559" s="68"/>
    </row>
    <row r="560" spans="12:12" x14ac:dyDescent="0.3">
      <c r="L560" s="68"/>
    </row>
    <row r="561" spans="12:12" x14ac:dyDescent="0.3">
      <c r="L561" s="68"/>
    </row>
    <row r="562" spans="12:12" x14ac:dyDescent="0.3">
      <c r="L562" s="68"/>
    </row>
    <row r="563" spans="12:12" x14ac:dyDescent="0.3">
      <c r="L563" s="68"/>
    </row>
    <row r="564" spans="12:12" x14ac:dyDescent="0.3">
      <c r="L564" s="68"/>
    </row>
    <row r="565" spans="12:12" x14ac:dyDescent="0.3">
      <c r="L565" s="68"/>
    </row>
    <row r="566" spans="12:12" x14ac:dyDescent="0.3">
      <c r="L566" s="68"/>
    </row>
    <row r="567" spans="12:12" x14ac:dyDescent="0.3">
      <c r="L567" s="68"/>
    </row>
    <row r="568" spans="12:12" x14ac:dyDescent="0.3">
      <c r="L568" s="68"/>
    </row>
    <row r="569" spans="12:12" x14ac:dyDescent="0.3">
      <c r="L569" s="68"/>
    </row>
    <row r="570" spans="12:12" x14ac:dyDescent="0.3">
      <c r="L570" s="68"/>
    </row>
    <row r="571" spans="12:12" x14ac:dyDescent="0.3">
      <c r="L571" s="68"/>
    </row>
    <row r="572" spans="12:12" x14ac:dyDescent="0.3">
      <c r="L572" s="68"/>
    </row>
    <row r="573" spans="12:12" x14ac:dyDescent="0.3">
      <c r="L573" s="68"/>
    </row>
    <row r="574" spans="12:12" x14ac:dyDescent="0.3">
      <c r="L574" s="68"/>
    </row>
    <row r="575" spans="12:12" x14ac:dyDescent="0.3">
      <c r="L575" s="68"/>
    </row>
    <row r="576" spans="12:12" x14ac:dyDescent="0.3">
      <c r="L576" s="68"/>
    </row>
    <row r="577" spans="12:12" x14ac:dyDescent="0.3">
      <c r="L577" s="68"/>
    </row>
    <row r="578" spans="12:12" x14ac:dyDescent="0.3">
      <c r="L578" s="68"/>
    </row>
    <row r="579" spans="12:12" x14ac:dyDescent="0.3">
      <c r="L579" s="68"/>
    </row>
    <row r="580" spans="12:12" x14ac:dyDescent="0.3">
      <c r="L580" s="68"/>
    </row>
    <row r="581" spans="12:12" x14ac:dyDescent="0.3">
      <c r="L581" s="68"/>
    </row>
    <row r="582" spans="12:12" x14ac:dyDescent="0.3">
      <c r="L582" s="68"/>
    </row>
    <row r="583" spans="12:12" x14ac:dyDescent="0.3">
      <c r="L583" s="68"/>
    </row>
    <row r="584" spans="12:12" x14ac:dyDescent="0.3">
      <c r="L584" s="68"/>
    </row>
    <row r="585" spans="12:12" x14ac:dyDescent="0.3">
      <c r="L585" s="68"/>
    </row>
    <row r="586" spans="12:12" x14ac:dyDescent="0.3">
      <c r="L586" s="68"/>
    </row>
    <row r="587" spans="12:12" x14ac:dyDescent="0.3">
      <c r="L587" s="68"/>
    </row>
    <row r="588" spans="12:12" x14ac:dyDescent="0.3">
      <c r="L588" s="68"/>
    </row>
    <row r="589" spans="12:12" x14ac:dyDescent="0.3">
      <c r="L589" s="68"/>
    </row>
    <row r="590" spans="12:12" x14ac:dyDescent="0.3">
      <c r="L590" s="68"/>
    </row>
    <row r="591" spans="12:12" x14ac:dyDescent="0.3">
      <c r="L591" s="68"/>
    </row>
    <row r="592" spans="12:12" x14ac:dyDescent="0.3">
      <c r="L592" s="68"/>
    </row>
    <row r="593" spans="12:12" x14ac:dyDescent="0.3">
      <c r="L593" s="68"/>
    </row>
    <row r="594" spans="12:12" x14ac:dyDescent="0.3">
      <c r="L594" s="68"/>
    </row>
    <row r="595" spans="12:12" x14ac:dyDescent="0.3">
      <c r="L595" s="68"/>
    </row>
    <row r="596" spans="12:12" x14ac:dyDescent="0.3">
      <c r="L596" s="68"/>
    </row>
    <row r="597" spans="12:12" x14ac:dyDescent="0.3">
      <c r="L597" s="68"/>
    </row>
    <row r="598" spans="12:12" x14ac:dyDescent="0.3">
      <c r="L598" s="68"/>
    </row>
    <row r="599" spans="12:12" x14ac:dyDescent="0.3">
      <c r="L599" s="68"/>
    </row>
    <row r="600" spans="12:12" x14ac:dyDescent="0.3">
      <c r="L600" s="68"/>
    </row>
    <row r="601" spans="12:12" x14ac:dyDescent="0.3">
      <c r="L601" s="68"/>
    </row>
    <row r="602" spans="12:12" x14ac:dyDescent="0.3">
      <c r="L602" s="68"/>
    </row>
    <row r="603" spans="12:12" x14ac:dyDescent="0.3">
      <c r="L603" s="68"/>
    </row>
    <row r="604" spans="12:12" x14ac:dyDescent="0.3">
      <c r="L604" s="68"/>
    </row>
    <row r="605" spans="12:12" x14ac:dyDescent="0.3">
      <c r="L605" s="68"/>
    </row>
    <row r="606" spans="12:12" x14ac:dyDescent="0.3">
      <c r="L606" s="68"/>
    </row>
    <row r="607" spans="12:12" x14ac:dyDescent="0.3">
      <c r="L607" s="68"/>
    </row>
    <row r="608" spans="12:12" x14ac:dyDescent="0.3">
      <c r="L608" s="68"/>
    </row>
    <row r="609" spans="12:12" x14ac:dyDescent="0.3">
      <c r="L609" s="68"/>
    </row>
    <row r="610" spans="12:12" x14ac:dyDescent="0.3">
      <c r="L610" s="68"/>
    </row>
    <row r="611" spans="12:12" x14ac:dyDescent="0.3">
      <c r="L611" s="68"/>
    </row>
    <row r="612" spans="12:12" x14ac:dyDescent="0.3">
      <c r="L612" s="68"/>
    </row>
    <row r="613" spans="12:12" x14ac:dyDescent="0.3">
      <c r="L613" s="68"/>
    </row>
    <row r="614" spans="12:12" x14ac:dyDescent="0.3">
      <c r="L614" s="68"/>
    </row>
    <row r="615" spans="12:12" x14ac:dyDescent="0.3">
      <c r="L615" s="68"/>
    </row>
    <row r="616" spans="12:12" x14ac:dyDescent="0.3">
      <c r="L616" s="68"/>
    </row>
    <row r="617" spans="12:12" x14ac:dyDescent="0.3">
      <c r="L617" s="68"/>
    </row>
    <row r="618" spans="12:12" x14ac:dyDescent="0.3">
      <c r="L618" s="68"/>
    </row>
    <row r="619" spans="12:12" x14ac:dyDescent="0.3">
      <c r="L619" s="68"/>
    </row>
    <row r="620" spans="12:12" x14ac:dyDescent="0.3">
      <c r="L620" s="68"/>
    </row>
    <row r="621" spans="12:12" x14ac:dyDescent="0.3">
      <c r="L621" s="68"/>
    </row>
    <row r="622" spans="12:12" x14ac:dyDescent="0.3">
      <c r="L622" s="68"/>
    </row>
    <row r="623" spans="12:12" x14ac:dyDescent="0.3">
      <c r="L623" s="68"/>
    </row>
    <row r="624" spans="12:12" x14ac:dyDescent="0.3">
      <c r="L624" s="68"/>
    </row>
    <row r="625" spans="12:12" x14ac:dyDescent="0.3">
      <c r="L625" s="68"/>
    </row>
    <row r="626" spans="12:12" x14ac:dyDescent="0.3">
      <c r="L626" s="68"/>
    </row>
    <row r="627" spans="12:12" x14ac:dyDescent="0.3">
      <c r="L627" s="68"/>
    </row>
    <row r="628" spans="12:12" x14ac:dyDescent="0.3">
      <c r="L628" s="68"/>
    </row>
    <row r="629" spans="12:12" x14ac:dyDescent="0.3">
      <c r="L629" s="68"/>
    </row>
    <row r="630" spans="12:12" x14ac:dyDescent="0.3">
      <c r="L630" s="68"/>
    </row>
    <row r="631" spans="12:12" x14ac:dyDescent="0.3">
      <c r="L631" s="68"/>
    </row>
    <row r="632" spans="12:12" x14ac:dyDescent="0.3">
      <c r="L632" s="68"/>
    </row>
    <row r="633" spans="12:12" x14ac:dyDescent="0.3">
      <c r="L633" s="68"/>
    </row>
    <row r="634" spans="12:12" x14ac:dyDescent="0.3">
      <c r="L634" s="68"/>
    </row>
    <row r="635" spans="12:12" x14ac:dyDescent="0.3">
      <c r="L635" s="68"/>
    </row>
    <row r="636" spans="12:12" x14ac:dyDescent="0.3">
      <c r="L636" s="68"/>
    </row>
    <row r="637" spans="12:12" x14ac:dyDescent="0.3">
      <c r="L637" s="68"/>
    </row>
    <row r="638" spans="12:12" x14ac:dyDescent="0.3">
      <c r="L638" s="68"/>
    </row>
    <row r="639" spans="12:12" x14ac:dyDescent="0.3">
      <c r="L639" s="68"/>
    </row>
    <row r="640" spans="12:12" x14ac:dyDescent="0.3">
      <c r="L640" s="68"/>
    </row>
    <row r="641" spans="12:12" x14ac:dyDescent="0.3">
      <c r="L641" s="68"/>
    </row>
    <row r="642" spans="12:12" x14ac:dyDescent="0.3">
      <c r="L642" s="68"/>
    </row>
    <row r="643" spans="12:12" x14ac:dyDescent="0.3">
      <c r="L643" s="68"/>
    </row>
    <row r="644" spans="12:12" x14ac:dyDescent="0.3">
      <c r="L644" s="68"/>
    </row>
    <row r="645" spans="12:12" x14ac:dyDescent="0.3">
      <c r="L645" s="68"/>
    </row>
    <row r="646" spans="12:12" x14ac:dyDescent="0.3">
      <c r="L646" s="68"/>
    </row>
    <row r="647" spans="12:12" x14ac:dyDescent="0.3">
      <c r="L647" s="68"/>
    </row>
    <row r="648" spans="12:12" x14ac:dyDescent="0.3">
      <c r="L648" s="68"/>
    </row>
    <row r="649" spans="12:12" x14ac:dyDescent="0.3">
      <c r="L649" s="68"/>
    </row>
    <row r="650" spans="12:12" x14ac:dyDescent="0.3">
      <c r="L650" s="68"/>
    </row>
    <row r="651" spans="12:12" x14ac:dyDescent="0.3">
      <c r="L651" s="68"/>
    </row>
    <row r="652" spans="12:12" x14ac:dyDescent="0.3">
      <c r="L652" s="68"/>
    </row>
    <row r="653" spans="12:12" x14ac:dyDescent="0.3">
      <c r="L653" s="68"/>
    </row>
    <row r="654" spans="12:12" x14ac:dyDescent="0.3">
      <c r="L654" s="68"/>
    </row>
    <row r="655" spans="12:12" x14ac:dyDescent="0.3">
      <c r="L655" s="68"/>
    </row>
    <row r="656" spans="12:12" x14ac:dyDescent="0.3">
      <c r="L656" s="68"/>
    </row>
    <row r="657" spans="12:12" x14ac:dyDescent="0.3">
      <c r="L657" s="68"/>
    </row>
    <row r="658" spans="12:12" x14ac:dyDescent="0.3">
      <c r="L658" s="68"/>
    </row>
    <row r="659" spans="12:12" x14ac:dyDescent="0.3">
      <c r="L659" s="68"/>
    </row>
    <row r="660" spans="12:12" x14ac:dyDescent="0.3">
      <c r="L660" s="68"/>
    </row>
    <row r="661" spans="12:12" x14ac:dyDescent="0.3">
      <c r="L661" s="68"/>
    </row>
    <row r="662" spans="12:12" x14ac:dyDescent="0.3">
      <c r="L662" s="68"/>
    </row>
    <row r="663" spans="12:12" x14ac:dyDescent="0.3">
      <c r="L663" s="68"/>
    </row>
    <row r="664" spans="12:12" x14ac:dyDescent="0.3">
      <c r="L664" s="68"/>
    </row>
    <row r="665" spans="12:12" x14ac:dyDescent="0.3">
      <c r="L665" s="68"/>
    </row>
    <row r="666" spans="12:12" x14ac:dyDescent="0.3">
      <c r="L666" s="68"/>
    </row>
    <row r="667" spans="12:12" x14ac:dyDescent="0.3">
      <c r="L667" s="68"/>
    </row>
    <row r="668" spans="12:12" x14ac:dyDescent="0.3">
      <c r="L668" s="68"/>
    </row>
    <row r="669" spans="12:12" x14ac:dyDescent="0.3">
      <c r="L669" s="68"/>
    </row>
    <row r="670" spans="12:12" x14ac:dyDescent="0.3">
      <c r="L670" s="68"/>
    </row>
    <row r="671" spans="12:12" x14ac:dyDescent="0.3">
      <c r="L671" s="68"/>
    </row>
    <row r="672" spans="12:12" x14ac:dyDescent="0.3">
      <c r="L672" s="68"/>
    </row>
    <row r="673" spans="12:12" x14ac:dyDescent="0.3">
      <c r="L673" s="68"/>
    </row>
    <row r="674" spans="12:12" x14ac:dyDescent="0.3">
      <c r="L674" s="68"/>
    </row>
    <row r="675" spans="12:12" x14ac:dyDescent="0.3">
      <c r="L675" s="68"/>
    </row>
    <row r="676" spans="12:12" x14ac:dyDescent="0.3">
      <c r="L676" s="68"/>
    </row>
    <row r="677" spans="12:12" x14ac:dyDescent="0.3">
      <c r="L677" s="68"/>
    </row>
    <row r="678" spans="12:12" x14ac:dyDescent="0.3">
      <c r="L678" s="68"/>
    </row>
    <row r="679" spans="12:12" x14ac:dyDescent="0.3">
      <c r="L679" s="68"/>
    </row>
    <row r="680" spans="12:12" x14ac:dyDescent="0.3">
      <c r="L680" s="68"/>
    </row>
    <row r="681" spans="12:12" x14ac:dyDescent="0.3">
      <c r="L681" s="68"/>
    </row>
    <row r="682" spans="12:12" x14ac:dyDescent="0.3">
      <c r="L682" s="68"/>
    </row>
    <row r="683" spans="12:12" x14ac:dyDescent="0.3">
      <c r="L683" s="68"/>
    </row>
    <row r="684" spans="12:12" x14ac:dyDescent="0.3">
      <c r="L684" s="68"/>
    </row>
    <row r="685" spans="12:12" x14ac:dyDescent="0.3">
      <c r="L685" s="68"/>
    </row>
    <row r="686" spans="12:12" x14ac:dyDescent="0.3">
      <c r="L686" s="68"/>
    </row>
    <row r="687" spans="12:12" x14ac:dyDescent="0.3">
      <c r="L687" s="68"/>
    </row>
    <row r="688" spans="12:12" x14ac:dyDescent="0.3">
      <c r="L688" s="68"/>
    </row>
    <row r="689" spans="12:12" x14ac:dyDescent="0.3">
      <c r="L689" s="68"/>
    </row>
    <row r="690" spans="12:12" x14ac:dyDescent="0.3">
      <c r="L690" s="68"/>
    </row>
    <row r="691" spans="12:12" x14ac:dyDescent="0.3">
      <c r="L691" s="68"/>
    </row>
    <row r="692" spans="12:12" x14ac:dyDescent="0.3">
      <c r="L692" s="68"/>
    </row>
    <row r="693" spans="12:12" x14ac:dyDescent="0.3">
      <c r="L693" s="68"/>
    </row>
    <row r="694" spans="12:12" x14ac:dyDescent="0.3">
      <c r="L694" s="68"/>
    </row>
    <row r="695" spans="12:12" x14ac:dyDescent="0.3">
      <c r="L695" s="68"/>
    </row>
    <row r="696" spans="12:12" x14ac:dyDescent="0.3">
      <c r="L696" s="68"/>
    </row>
    <row r="697" spans="12:12" x14ac:dyDescent="0.3">
      <c r="L697" s="68"/>
    </row>
    <row r="698" spans="12:12" x14ac:dyDescent="0.3">
      <c r="L698" s="68"/>
    </row>
    <row r="699" spans="12:12" x14ac:dyDescent="0.3">
      <c r="L699" s="68"/>
    </row>
    <row r="700" spans="12:12" x14ac:dyDescent="0.3">
      <c r="L700" s="68"/>
    </row>
    <row r="701" spans="12:12" x14ac:dyDescent="0.3">
      <c r="L701" s="68"/>
    </row>
    <row r="702" spans="12:12" x14ac:dyDescent="0.3">
      <c r="L702" s="68"/>
    </row>
    <row r="703" spans="12:12" x14ac:dyDescent="0.3">
      <c r="L703" s="68"/>
    </row>
    <row r="704" spans="12:12" x14ac:dyDescent="0.3">
      <c r="L704" s="68"/>
    </row>
    <row r="705" spans="12:12" x14ac:dyDescent="0.3">
      <c r="L705" s="68"/>
    </row>
    <row r="706" spans="12:12" x14ac:dyDescent="0.3">
      <c r="L706" s="68"/>
    </row>
    <row r="707" spans="12:12" x14ac:dyDescent="0.3">
      <c r="L707" s="68"/>
    </row>
    <row r="708" spans="12:12" x14ac:dyDescent="0.3">
      <c r="L708" s="68"/>
    </row>
    <row r="709" spans="12:12" x14ac:dyDescent="0.3">
      <c r="L709" s="68"/>
    </row>
    <row r="710" spans="12:12" x14ac:dyDescent="0.3">
      <c r="L710" s="68"/>
    </row>
    <row r="711" spans="12:12" x14ac:dyDescent="0.3">
      <c r="L711" s="68"/>
    </row>
    <row r="712" spans="12:12" x14ac:dyDescent="0.3">
      <c r="L712" s="68"/>
    </row>
    <row r="713" spans="12:12" x14ac:dyDescent="0.3">
      <c r="L713" s="68"/>
    </row>
    <row r="714" spans="12:12" x14ac:dyDescent="0.3">
      <c r="L714" s="68"/>
    </row>
    <row r="715" spans="12:12" x14ac:dyDescent="0.3">
      <c r="L715" s="68"/>
    </row>
    <row r="716" spans="12:12" x14ac:dyDescent="0.3">
      <c r="L716" s="68"/>
    </row>
    <row r="717" spans="12:12" x14ac:dyDescent="0.3">
      <c r="L717" s="68"/>
    </row>
    <row r="718" spans="12:12" x14ac:dyDescent="0.3">
      <c r="L718" s="68"/>
    </row>
    <row r="719" spans="12:12" x14ac:dyDescent="0.3">
      <c r="L719" s="68"/>
    </row>
  </sheetData>
  <mergeCells count="5">
    <mergeCell ref="E4:J4"/>
    <mergeCell ref="N4:V4"/>
    <mergeCell ref="Y4:AB4"/>
    <mergeCell ref="Y5:Z5"/>
    <mergeCell ref="AA5:AB5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1EB569-4991-466A-BA72-AA36BB17AAA8}">
  <dimension ref="B1:AF719"/>
  <sheetViews>
    <sheetView topLeftCell="A4" workbookViewId="0">
      <selection activeCell="AA7" sqref="AA7:AB28"/>
    </sheetView>
  </sheetViews>
  <sheetFormatPr defaultColWidth="9.109375" defaultRowHeight="14.4" outlineLevelCol="1" x14ac:dyDescent="0.3"/>
  <cols>
    <col min="1" max="1" width="9.109375" style="68"/>
    <col min="2" max="2" width="6.5546875" style="68" hidden="1" customWidth="1" outlineLevel="1"/>
    <col min="3" max="3" width="9.109375" style="68" hidden="1" customWidth="1" outlineLevel="1"/>
    <col min="4" max="4" width="13.44140625" style="68" hidden="1" customWidth="1" outlineLevel="1"/>
    <col min="5" max="5" width="13.109375" style="68" hidden="1" customWidth="1" outlineLevel="1"/>
    <col min="6" max="6" width="10.5546875" style="68" hidden="1" customWidth="1" outlineLevel="1"/>
    <col min="7" max="8" width="9.5546875" style="68" hidden="1" customWidth="1" outlineLevel="1"/>
    <col min="9" max="9" width="10.5546875" style="68" hidden="1" customWidth="1" outlineLevel="1"/>
    <col min="10" max="10" width="9.5546875" style="68" hidden="1" customWidth="1" outlineLevel="1"/>
    <col min="11" max="11" width="10" style="68" hidden="1" customWidth="1" outlineLevel="1"/>
    <col min="12" max="12" width="3.21875" hidden="1" customWidth="1" outlineLevel="1"/>
    <col min="13" max="16" width="10" style="68" hidden="1" customWidth="1" outlineLevel="1"/>
    <col min="17" max="17" width="1.88671875" style="68" hidden="1" customWidth="1" outlineLevel="1"/>
    <col min="18" max="18" width="10" style="68" hidden="1" customWidth="1" outlineLevel="1"/>
    <col min="19" max="19" width="3.109375" style="68" hidden="1" customWidth="1" outlineLevel="1"/>
    <col min="20" max="20" width="10" style="68" hidden="1" customWidth="1" outlineLevel="1"/>
    <col min="21" max="21" width="3.33203125" style="68" hidden="1" customWidth="1" outlineLevel="1"/>
    <col min="22" max="22" width="10" style="68" hidden="1" customWidth="1" outlineLevel="1"/>
    <col min="23" max="23" width="2.109375" style="68" customWidth="1" collapsed="1"/>
    <col min="24" max="24" width="10" style="68" bestFit="1" customWidth="1"/>
    <col min="25" max="25" width="11" style="68" customWidth="1"/>
    <col min="26" max="26" width="12.6640625" style="68" customWidth="1"/>
    <col min="27" max="27" width="9.6640625" style="68" customWidth="1"/>
    <col min="28" max="28" width="11.21875" style="68" customWidth="1"/>
    <col min="29" max="16384" width="9.109375" style="68"/>
  </cols>
  <sheetData>
    <row r="1" spans="2:32" x14ac:dyDescent="0.3">
      <c r="L1" s="68"/>
    </row>
    <row r="2" spans="2:32" x14ac:dyDescent="0.3">
      <c r="B2" s="66"/>
      <c r="C2" s="66"/>
      <c r="D2" s="66"/>
      <c r="E2" s="66"/>
      <c r="F2" s="66"/>
      <c r="G2" s="66"/>
      <c r="H2" s="66"/>
      <c r="I2" s="66"/>
      <c r="J2" s="66"/>
      <c r="K2" s="66"/>
      <c r="M2" s="66"/>
      <c r="N2" s="66"/>
      <c r="O2" s="66"/>
      <c r="P2" s="66"/>
      <c r="Q2" s="66"/>
      <c r="R2" s="66"/>
      <c r="S2" s="66"/>
      <c r="T2" s="66"/>
      <c r="U2" s="66"/>
      <c r="V2" s="66"/>
      <c r="W2" s="66"/>
      <c r="X2" s="66"/>
      <c r="Y2" s="66"/>
      <c r="Z2" s="66"/>
      <c r="AA2" s="66"/>
      <c r="AB2" s="66"/>
      <c r="AC2" s="66"/>
      <c r="AD2" s="66"/>
      <c r="AE2" s="66"/>
      <c r="AF2" s="66"/>
    </row>
    <row r="3" spans="2:32" ht="18" customHeight="1" x14ac:dyDescent="0.3">
      <c r="B3" s="66"/>
      <c r="C3" s="69" t="str">
        <f>"General Service Tariff Bill Impacts"&amp;"-"&amp;'CETR Rate'!D3</f>
        <v>General Service Tariff Bill Impacts-Distributed Energy Resources Aggregation &amp; Control Platform</v>
      </c>
      <c r="D3" s="66"/>
      <c r="E3" s="66"/>
      <c r="F3" s="66"/>
      <c r="G3" s="66"/>
      <c r="H3" s="66"/>
      <c r="I3" s="66"/>
      <c r="J3" s="66"/>
      <c r="K3" s="66"/>
      <c r="M3" s="66"/>
      <c r="N3" s="66"/>
      <c r="O3" s="66"/>
      <c r="P3" s="66"/>
      <c r="Q3" s="66"/>
      <c r="R3" s="66"/>
      <c r="S3" s="66"/>
      <c r="T3" s="66"/>
      <c r="U3" s="66"/>
      <c r="V3" s="66"/>
      <c r="W3" s="66"/>
      <c r="X3" s="66" t="str">
        <f>C3</f>
        <v>General Service Tariff Bill Impacts-Distributed Energy Resources Aggregation &amp; Control Platform</v>
      </c>
      <c r="Y3" s="66"/>
      <c r="Z3" s="66"/>
      <c r="AA3" s="66"/>
      <c r="AB3" s="66"/>
      <c r="AC3" s="66"/>
      <c r="AD3" s="66"/>
      <c r="AE3" s="66"/>
      <c r="AF3" s="66"/>
    </row>
    <row r="4" spans="2:32" ht="30.6" customHeight="1" x14ac:dyDescent="0.3">
      <c r="B4" s="66"/>
      <c r="C4" s="70"/>
      <c r="D4" s="71"/>
      <c r="E4" s="226" t="s">
        <v>103</v>
      </c>
      <c r="F4" s="227"/>
      <c r="G4" s="227"/>
      <c r="H4" s="227"/>
      <c r="I4" s="227"/>
      <c r="J4" s="227"/>
      <c r="K4" s="74"/>
      <c r="L4" s="112"/>
      <c r="M4" s="74"/>
      <c r="N4" s="226" t="s">
        <v>113</v>
      </c>
      <c r="O4" s="227"/>
      <c r="P4" s="227"/>
      <c r="Q4" s="227"/>
      <c r="R4" s="227"/>
      <c r="S4" s="227"/>
      <c r="T4" s="227"/>
      <c r="U4" s="227"/>
      <c r="V4" s="227"/>
      <c r="W4" s="75"/>
      <c r="X4" s="176"/>
      <c r="Y4" s="228" t="s">
        <v>152</v>
      </c>
      <c r="Z4" s="228"/>
      <c r="AA4" s="228"/>
      <c r="AB4" s="228"/>
      <c r="AC4" s="66"/>
      <c r="AD4" s="66"/>
      <c r="AE4" s="66"/>
      <c r="AF4" s="66"/>
    </row>
    <row r="5" spans="2:32" ht="60" customHeight="1" x14ac:dyDescent="0.3">
      <c r="B5" s="66"/>
      <c r="C5" s="70"/>
      <c r="D5" s="71"/>
      <c r="E5" s="72"/>
      <c r="F5" s="73"/>
      <c r="G5" s="73"/>
      <c r="H5" s="73"/>
      <c r="I5" s="73"/>
      <c r="J5" s="73"/>
      <c r="K5" s="74"/>
      <c r="L5" s="112"/>
      <c r="M5" s="74"/>
      <c r="N5" s="72"/>
      <c r="O5" s="73"/>
      <c r="P5" s="73"/>
      <c r="Q5" s="73"/>
      <c r="R5" s="214" t="s">
        <v>150</v>
      </c>
      <c r="S5" s="73"/>
      <c r="T5" s="213" t="s">
        <v>99</v>
      </c>
      <c r="U5" s="73"/>
      <c r="V5" s="213" t="s">
        <v>95</v>
      </c>
      <c r="W5" s="75"/>
      <c r="X5" s="175"/>
      <c r="Y5" s="229" t="s">
        <v>101</v>
      </c>
      <c r="Z5" s="230"/>
      <c r="AA5" s="229" t="s">
        <v>102</v>
      </c>
      <c r="AB5" s="230"/>
      <c r="AC5" s="66"/>
      <c r="AD5" s="66"/>
      <c r="AE5" s="66"/>
      <c r="AF5" s="66"/>
    </row>
    <row r="6" spans="2:32" ht="43.2" x14ac:dyDescent="0.3">
      <c r="B6" s="66"/>
      <c r="C6" s="76" t="s">
        <v>96</v>
      </c>
      <c r="D6" s="72" t="s">
        <v>97</v>
      </c>
      <c r="E6" s="72" t="s">
        <v>15</v>
      </c>
      <c r="F6" s="72" t="s">
        <v>16</v>
      </c>
      <c r="G6" s="72" t="s">
        <v>98</v>
      </c>
      <c r="H6" s="72" t="s">
        <v>17</v>
      </c>
      <c r="I6" s="72" t="s">
        <v>99</v>
      </c>
      <c r="J6" s="72" t="s">
        <v>100</v>
      </c>
      <c r="K6" s="72" t="s">
        <v>95</v>
      </c>
      <c r="L6" s="101"/>
      <c r="M6" s="72" t="s">
        <v>15</v>
      </c>
      <c r="N6" s="72" t="s">
        <v>16</v>
      </c>
      <c r="O6" s="72" t="s">
        <v>98</v>
      </c>
      <c r="P6" s="72" t="s">
        <v>17</v>
      </c>
      <c r="Q6" s="72"/>
      <c r="R6" s="72">
        <v>2024</v>
      </c>
      <c r="S6" s="72"/>
      <c r="T6" s="72">
        <v>2024</v>
      </c>
      <c r="U6" s="72"/>
      <c r="V6" s="72">
        <v>2024</v>
      </c>
      <c r="W6" s="66"/>
      <c r="X6" s="174" t="s">
        <v>96</v>
      </c>
      <c r="Y6" s="173">
        <v>2024</v>
      </c>
      <c r="Z6" s="173" t="s">
        <v>151</v>
      </c>
      <c r="AA6" s="173">
        <v>2024</v>
      </c>
      <c r="AB6" s="173" t="s">
        <v>151</v>
      </c>
      <c r="AC6" s="66"/>
      <c r="AD6" s="66"/>
      <c r="AE6" s="66"/>
      <c r="AF6" s="66"/>
    </row>
    <row r="7" spans="2:32" x14ac:dyDescent="0.3">
      <c r="B7" s="66"/>
      <c r="C7" s="77">
        <v>15</v>
      </c>
      <c r="D7" s="78">
        <v>0.17784392085033168</v>
      </c>
      <c r="E7" s="67">
        <f>IF($C7&lt;=Tariffs!$E$29,Tariffs!$G$29,IF(AND($C7&gt;Tariffs!$E$29,$C7&lt;=Tariffs!$E$30),Tariffs!$G$30,Tariffs!$G$31))</f>
        <v>10</v>
      </c>
      <c r="F7" s="67">
        <f>IF($C7&gt;Tariffs!$E$31,(Tariffs!$F$29*Tariffs!$H$29)+(Tariffs!$F$30*Tariffs!$H$30)+(Tariffs!$F$31*Tariffs!$H$31)+(($C7-Tariffs!$E$31)*Tariffs!$H$32),IF(AND($C7&gt;Tariffs!$E$29,$C7&lt;=Tariffs!$E$30),(Tariffs!$F$29*Tariffs!$H$29)+(($C7-Tariffs!$E$29)*Tariffs!$H$30),IF(AND($C7&gt;Tariffs!$E$30,$C7&lt;=Tariffs!$E$31),(Tariffs!$F$29*Tariffs!$H$29)+(Tariffs!$F$30*Tariffs!$H$30)+(($C7-Tariffs!$E$30)*Tariffs!$H$31),$C7*Tariffs!$H$29)))</f>
        <v>2.91</v>
      </c>
      <c r="G7" s="80">
        <f>F7+E7</f>
        <v>12.91</v>
      </c>
      <c r="H7" s="67">
        <f>$C7*Tariffs!$J$8</f>
        <v>6.7663651873343422</v>
      </c>
      <c r="I7" s="67">
        <f>H7+G7</f>
        <v>19.676365187334341</v>
      </c>
      <c r="J7" s="67">
        <f>I7*Tariffs!$I$8</f>
        <v>3.4433639077835094</v>
      </c>
      <c r="K7" s="81">
        <f>J7+I7</f>
        <v>23.119729095117851</v>
      </c>
      <c r="L7" s="81"/>
      <c r="M7" s="67">
        <f>E7</f>
        <v>10</v>
      </c>
      <c r="N7" s="67">
        <f>F7</f>
        <v>2.91</v>
      </c>
      <c r="O7" s="80">
        <f>N7+M7</f>
        <v>12.91</v>
      </c>
      <c r="P7" s="67">
        <f>$C7*Tariffs!$J$8</f>
        <v>6.7663651873343422</v>
      </c>
      <c r="Q7" s="67"/>
      <c r="R7" s="67">
        <f>$C7*Tariffs!K$28</f>
        <v>2.6549999999999998E-3</v>
      </c>
      <c r="S7" s="67"/>
      <c r="T7" s="67">
        <f t="shared" ref="T7:T28" si="0">$P7+$O7+R7</f>
        <v>19.679020187334341</v>
      </c>
      <c r="U7" s="67"/>
      <c r="V7" s="67">
        <f>T7*(1+Tariffs!$I$8)</f>
        <v>23.122848720117851</v>
      </c>
      <c r="W7" s="82"/>
      <c r="X7" s="83">
        <f t="shared" ref="X7:X28" si="1">C7</f>
        <v>15</v>
      </c>
      <c r="Y7" s="67">
        <f t="shared" ref="Y7:Y28" si="2">V7-$K7</f>
        <v>3.1196250000000703E-3</v>
      </c>
      <c r="Z7" s="80">
        <f t="shared" ref="Z7:Z28" si="3">SUM(Y7:Y7)</f>
        <v>3.1196250000000703E-3</v>
      </c>
      <c r="AA7" s="279">
        <f t="shared" ref="AA7:AA28" si="4">V7/$K7-1</f>
        <v>1.3493345822368497E-4</v>
      </c>
      <c r="AB7" s="277">
        <f t="shared" ref="AB7:AB28" si="5">SUM(AA7:AA7)</f>
        <v>1.3493345822368497E-4</v>
      </c>
      <c r="AC7" s="66"/>
      <c r="AD7" s="66"/>
      <c r="AE7" s="66"/>
      <c r="AF7" s="66"/>
    </row>
    <row r="8" spans="2:32" x14ac:dyDescent="0.3">
      <c r="B8" s="66"/>
      <c r="C8" s="84">
        <v>50</v>
      </c>
      <c r="D8" s="85">
        <v>0.26108012100019429</v>
      </c>
      <c r="E8" s="88">
        <f>IF($C8&lt;=Tariffs!$E$29,Tariffs!$G$29,IF(AND($C8&gt;Tariffs!$E$29,$C8&lt;=Tariffs!$E$30),Tariffs!$G$30,Tariffs!$G$31))</f>
        <v>10</v>
      </c>
      <c r="F8" s="88">
        <f>IF($C8&gt;Tariffs!$E$31,(Tariffs!$F$29*Tariffs!$H$29)+(Tariffs!$F$30*Tariffs!$H$30)+(Tariffs!$F$31*Tariffs!$H$31)+(($C8-Tariffs!$E$31)*Tariffs!$H$32),IF(AND($C8&gt;Tariffs!$E$29,$C8&lt;=Tariffs!$E$30),(Tariffs!$F$29*Tariffs!$H$29)+(($C8-Tariffs!$E$29)*Tariffs!$H$30),IF(AND($C8&gt;Tariffs!$E$30,$C8&lt;=Tariffs!$E$31),(Tariffs!$F$29*Tariffs!$H$29)+(Tariffs!$F$30*Tariffs!$H$30)+(($C8-Tariffs!$E$30)*Tariffs!$H$31),$C8*Tariffs!$H$29)))</f>
        <v>9.7000000000000011</v>
      </c>
      <c r="G8" s="87">
        <f t="shared" ref="G8:G28" si="6">F8+E8</f>
        <v>19.700000000000003</v>
      </c>
      <c r="H8" s="88">
        <f>$C8*Tariffs!$J$8</f>
        <v>22.55455062444781</v>
      </c>
      <c r="I8" s="88">
        <f t="shared" ref="I8:I28" si="7">H8+G8</f>
        <v>42.254550624447816</v>
      </c>
      <c r="J8" s="88">
        <f>I8*Tariffs!$I$8</f>
        <v>7.3945463592783671</v>
      </c>
      <c r="K8" s="89">
        <f t="shared" ref="K8:K28" si="8">J8+I8</f>
        <v>49.649096983726182</v>
      </c>
      <c r="L8" s="81"/>
      <c r="M8" s="88">
        <f t="shared" ref="M8:M28" si="9">E8</f>
        <v>10</v>
      </c>
      <c r="N8" s="88">
        <f t="shared" ref="N8:N28" si="10">F8</f>
        <v>9.7000000000000011</v>
      </c>
      <c r="O8" s="87">
        <f t="shared" ref="O8:O28" si="11">N8+M8</f>
        <v>19.700000000000003</v>
      </c>
      <c r="P8" s="88">
        <f>$C8*Tariffs!$J$8</f>
        <v>22.55455062444781</v>
      </c>
      <c r="Q8" s="67"/>
      <c r="R8" s="88">
        <f>$C8*Tariffs!K$28</f>
        <v>8.8500000000000002E-3</v>
      </c>
      <c r="S8" s="67"/>
      <c r="T8" s="88">
        <f t="shared" si="0"/>
        <v>42.263400624447819</v>
      </c>
      <c r="U8" s="67"/>
      <c r="V8" s="88">
        <f>T8*(1+Tariffs!$I$8)</f>
        <v>49.659495733726189</v>
      </c>
      <c r="W8" s="82"/>
      <c r="X8" s="90">
        <f t="shared" si="1"/>
        <v>50</v>
      </c>
      <c r="Y8" s="88">
        <f t="shared" si="2"/>
        <v>1.039875000000734E-2</v>
      </c>
      <c r="Z8" s="87">
        <f t="shared" si="3"/>
        <v>1.039875000000734E-2</v>
      </c>
      <c r="AA8" s="280">
        <f t="shared" si="4"/>
        <v>2.0944489692165114E-4</v>
      </c>
      <c r="AB8" s="281">
        <f t="shared" si="5"/>
        <v>2.0944489692165114E-4</v>
      </c>
      <c r="AC8" s="66"/>
      <c r="AD8" s="66"/>
      <c r="AE8" s="66"/>
      <c r="AF8" s="66"/>
    </row>
    <row r="9" spans="2:32" x14ac:dyDescent="0.3">
      <c r="B9" s="66"/>
      <c r="C9" s="77">
        <v>100</v>
      </c>
      <c r="D9" s="78">
        <v>0.37430272250437102</v>
      </c>
      <c r="E9" s="67">
        <f>IF($C9&lt;=Tariffs!$E$29,Tariffs!$G$29,IF(AND($C9&gt;Tariffs!$E$29,$C9&lt;=Tariffs!$E$30),Tariffs!$G$30,Tariffs!$G$31))</f>
        <v>10</v>
      </c>
      <c r="F9" s="67">
        <f>IF($C9&gt;Tariffs!$E$31,(Tariffs!$F$29*Tariffs!$H$29)+(Tariffs!$F$30*Tariffs!$H$30)+(Tariffs!$F$31*Tariffs!$H$31)+(($C9-Tariffs!$E$31)*Tariffs!$H$32),IF(AND($C9&gt;Tariffs!$E$29,$C9&lt;=Tariffs!$E$30),(Tariffs!$F$29*Tariffs!$H$29)+(($C9-Tariffs!$E$29)*Tariffs!$H$30),IF(AND($C9&gt;Tariffs!$E$30,$C9&lt;=Tariffs!$E$31),(Tariffs!$F$29*Tariffs!$H$29)+(Tariffs!$F$30*Tariffs!$H$30)+(($C9-Tariffs!$E$30)*Tariffs!$H$31),$C9*Tariffs!$H$29)))</f>
        <v>19.400000000000002</v>
      </c>
      <c r="G9" s="80">
        <f t="shared" si="6"/>
        <v>29.400000000000002</v>
      </c>
      <c r="H9" s="67">
        <f>$C9*Tariffs!$J$8</f>
        <v>45.10910124889562</v>
      </c>
      <c r="I9" s="67">
        <f t="shared" si="7"/>
        <v>74.509101248895618</v>
      </c>
      <c r="J9" s="67">
        <f>I9*Tariffs!$I$8</f>
        <v>13.039092718556732</v>
      </c>
      <c r="K9" s="81">
        <f t="shared" si="8"/>
        <v>87.548193967452349</v>
      </c>
      <c r="L9" s="81"/>
      <c r="M9" s="67">
        <f t="shared" si="9"/>
        <v>10</v>
      </c>
      <c r="N9" s="67">
        <f t="shared" si="10"/>
        <v>19.400000000000002</v>
      </c>
      <c r="O9" s="80">
        <f t="shared" si="11"/>
        <v>29.400000000000002</v>
      </c>
      <c r="P9" s="67">
        <f>$C9*Tariffs!$J$8</f>
        <v>45.10910124889562</v>
      </c>
      <c r="Q9" s="67"/>
      <c r="R9" s="67">
        <f>$C9*Tariffs!K$28</f>
        <v>1.77E-2</v>
      </c>
      <c r="S9" s="67"/>
      <c r="T9" s="67">
        <f t="shared" si="0"/>
        <v>74.526801248895623</v>
      </c>
      <c r="U9" s="67"/>
      <c r="V9" s="67">
        <f>T9*(1+Tariffs!$I$8)</f>
        <v>87.568991467452364</v>
      </c>
      <c r="W9" s="82"/>
      <c r="X9" s="83">
        <f t="shared" si="1"/>
        <v>100</v>
      </c>
      <c r="Y9" s="67">
        <f t="shared" si="2"/>
        <v>2.0797500000014679E-2</v>
      </c>
      <c r="Z9" s="80">
        <f t="shared" si="3"/>
        <v>2.0797500000014679E-2</v>
      </c>
      <c r="AA9" s="279">
        <f t="shared" si="4"/>
        <v>2.3755487186583046E-4</v>
      </c>
      <c r="AB9" s="277">
        <f t="shared" si="5"/>
        <v>2.3755487186583046E-4</v>
      </c>
      <c r="AC9" s="66"/>
      <c r="AD9" s="66"/>
      <c r="AE9" s="66"/>
      <c r="AF9" s="66"/>
    </row>
    <row r="10" spans="2:32" x14ac:dyDescent="0.3">
      <c r="B10" s="66"/>
      <c r="C10" s="84">
        <v>150</v>
      </c>
      <c r="D10" s="85">
        <v>0.47113063025559909</v>
      </c>
      <c r="E10" s="88">
        <f>IF($C10&lt;=Tariffs!$E$29,Tariffs!$G$29,IF(AND($C10&gt;Tariffs!$E$29,$C10&lt;=Tariffs!$E$30),Tariffs!$G$30,Tariffs!$G$31))</f>
        <v>10</v>
      </c>
      <c r="F10" s="88">
        <f>IF($C10&gt;Tariffs!$E$31,(Tariffs!$F$29*Tariffs!$H$29)+(Tariffs!$F$30*Tariffs!$H$30)+(Tariffs!$F$31*Tariffs!$H$31)+(($C10-Tariffs!$E$31)*Tariffs!$H$32),IF(AND($C10&gt;Tariffs!$E$29,$C10&lt;=Tariffs!$E$30),(Tariffs!$F$29*Tariffs!$H$29)+(($C10-Tariffs!$E$29)*Tariffs!$H$30),IF(AND($C10&gt;Tariffs!$E$30,$C10&lt;=Tariffs!$E$31),(Tariffs!$F$29*Tariffs!$H$29)+(Tariffs!$F$30*Tariffs!$H$30)+(($C10-Tariffs!$E$30)*Tariffs!$H$31),$C10*Tariffs!$H$29)))</f>
        <v>29.1</v>
      </c>
      <c r="G10" s="87">
        <f t="shared" si="6"/>
        <v>39.1</v>
      </c>
      <c r="H10" s="88">
        <f>$C10*Tariffs!$J$8</f>
        <v>67.663651873343426</v>
      </c>
      <c r="I10" s="88">
        <f t="shared" si="7"/>
        <v>106.76365187334343</v>
      </c>
      <c r="J10" s="88">
        <f>I10*Tariffs!$I$8</f>
        <v>18.6836390778351</v>
      </c>
      <c r="K10" s="89">
        <f t="shared" si="8"/>
        <v>125.44729095117853</v>
      </c>
      <c r="L10" s="81"/>
      <c r="M10" s="88">
        <f t="shared" si="9"/>
        <v>10</v>
      </c>
      <c r="N10" s="88">
        <f t="shared" si="10"/>
        <v>29.1</v>
      </c>
      <c r="O10" s="87">
        <f t="shared" si="11"/>
        <v>39.1</v>
      </c>
      <c r="P10" s="88">
        <f>$C10*Tariffs!$J$8</f>
        <v>67.663651873343426</v>
      </c>
      <c r="Q10" s="67"/>
      <c r="R10" s="88">
        <f>$C10*Tariffs!K$28</f>
        <v>2.6549999999999997E-2</v>
      </c>
      <c r="S10" s="67"/>
      <c r="T10" s="88">
        <f t="shared" si="0"/>
        <v>106.79020187334343</v>
      </c>
      <c r="U10" s="67"/>
      <c r="V10" s="88">
        <f>T10*(1+Tariffs!$I$8)</f>
        <v>125.47848720117854</v>
      </c>
      <c r="W10" s="82"/>
      <c r="X10" s="90">
        <f t="shared" si="1"/>
        <v>150</v>
      </c>
      <c r="Y10" s="88">
        <f t="shared" si="2"/>
        <v>3.1196250000007808E-2</v>
      </c>
      <c r="Z10" s="87">
        <f t="shared" si="3"/>
        <v>3.1196250000007808E-2</v>
      </c>
      <c r="AA10" s="280">
        <f t="shared" si="4"/>
        <v>2.4868014098555768E-4</v>
      </c>
      <c r="AB10" s="281">
        <f t="shared" si="5"/>
        <v>2.4868014098555768E-4</v>
      </c>
      <c r="AC10" s="66"/>
      <c r="AD10" s="66"/>
      <c r="AE10" s="66"/>
      <c r="AF10" s="66"/>
    </row>
    <row r="11" spans="2:32" x14ac:dyDescent="0.3">
      <c r="B11" s="66"/>
      <c r="C11" s="77">
        <v>200</v>
      </c>
      <c r="D11" s="78">
        <v>0.54969749951433411</v>
      </c>
      <c r="E11" s="67">
        <f>IF($C11&lt;=Tariffs!$E$29,Tariffs!$G$29,IF(AND($C11&gt;Tariffs!$E$29,$C11&lt;=Tariffs!$E$30),Tariffs!$G$30,Tariffs!$G$31))</f>
        <v>13</v>
      </c>
      <c r="F11" s="67">
        <f>IF($C11&gt;Tariffs!$E$31,(Tariffs!$F$29*Tariffs!$H$29)+(Tariffs!$F$30*Tariffs!$H$30)+(Tariffs!$F$31*Tariffs!$H$31)+(($C11-Tariffs!$E$31)*Tariffs!$H$32),IF(AND($C11&gt;Tariffs!$E$29,$C11&lt;=Tariffs!$E$30),(Tariffs!$F$29*Tariffs!$H$29)+(($C11-Tariffs!$E$29)*Tariffs!$H$30),IF(AND($C11&gt;Tariffs!$E$30,$C11&lt;=Tariffs!$E$31),(Tariffs!$F$29*Tariffs!$H$29)+(Tariffs!$F$30*Tariffs!$H$30)+(($C11-Tariffs!$E$30)*Tariffs!$H$31),$C11*Tariffs!$H$29)))</f>
        <v>40.950000000000003</v>
      </c>
      <c r="G11" s="80">
        <f t="shared" si="6"/>
        <v>53.95</v>
      </c>
      <c r="H11" s="67">
        <f>$C11*Tariffs!$J$8</f>
        <v>90.218202497791239</v>
      </c>
      <c r="I11" s="67">
        <f t="shared" si="7"/>
        <v>144.16820249779124</v>
      </c>
      <c r="J11" s="67">
        <f>I11*Tariffs!$I$8</f>
        <v>25.229435437113466</v>
      </c>
      <c r="K11" s="81">
        <f t="shared" si="8"/>
        <v>169.39763793490471</v>
      </c>
      <c r="L11" s="81"/>
      <c r="M11" s="67">
        <f t="shared" si="9"/>
        <v>13</v>
      </c>
      <c r="N11" s="67">
        <f t="shared" si="10"/>
        <v>40.950000000000003</v>
      </c>
      <c r="O11" s="80">
        <f t="shared" si="11"/>
        <v>53.95</v>
      </c>
      <c r="P11" s="67">
        <f>$C11*Tariffs!$J$8</f>
        <v>90.218202497791239</v>
      </c>
      <c r="Q11" s="67"/>
      <c r="R11" s="67">
        <f>$C11*Tariffs!K$28</f>
        <v>3.5400000000000001E-2</v>
      </c>
      <c r="S11" s="67"/>
      <c r="T11" s="67">
        <f t="shared" si="0"/>
        <v>144.20360249779125</v>
      </c>
      <c r="U11" s="67"/>
      <c r="V11" s="67">
        <f>T11*(1+Tariffs!$I$8)</f>
        <v>169.43923293490474</v>
      </c>
      <c r="W11" s="82"/>
      <c r="X11" s="83">
        <f t="shared" si="1"/>
        <v>200</v>
      </c>
      <c r="Y11" s="67">
        <f t="shared" si="2"/>
        <v>4.1595000000029358E-2</v>
      </c>
      <c r="Z11" s="80">
        <f t="shared" si="3"/>
        <v>4.1595000000029358E-2</v>
      </c>
      <c r="AA11" s="279">
        <f t="shared" si="4"/>
        <v>2.4554651710095854E-4</v>
      </c>
      <c r="AB11" s="277">
        <f t="shared" si="5"/>
        <v>2.4554651710095854E-4</v>
      </c>
      <c r="AC11" s="66"/>
      <c r="AD11" s="66"/>
      <c r="AE11" s="66"/>
      <c r="AF11" s="66"/>
    </row>
    <row r="12" spans="2:32" x14ac:dyDescent="0.3">
      <c r="B12" s="66"/>
      <c r="C12" s="91">
        <v>250</v>
      </c>
      <c r="D12" s="92">
        <v>0.61333361085671467</v>
      </c>
      <c r="E12" s="95">
        <f>IF($C12&lt;=Tariffs!$E$29,Tariffs!$G$29,IF(AND($C12&gt;Tariffs!$E$29,$C12&lt;=Tariffs!$E$30),Tariffs!$G$30,Tariffs!$G$31))</f>
        <v>13</v>
      </c>
      <c r="F12" s="95">
        <f>IF($C12&gt;Tariffs!$E$31,(Tariffs!$F$29*Tariffs!$H$29)+(Tariffs!$F$30*Tariffs!$H$30)+(Tariffs!$F$31*Tariffs!$H$31)+(($C12-Tariffs!$E$31)*Tariffs!$H$32),IF(AND($C12&gt;Tariffs!$E$29,$C12&lt;=Tariffs!$E$30),(Tariffs!$F$29*Tariffs!$H$29)+(($C12-Tariffs!$E$29)*Tariffs!$H$30),IF(AND($C12&gt;Tariffs!$E$30,$C12&lt;=Tariffs!$E$31),(Tariffs!$F$29*Tariffs!$H$29)+(Tariffs!$F$30*Tariffs!$H$30)+(($C12-Tariffs!$E$30)*Tariffs!$H$31),$C12*Tariffs!$H$29)))</f>
        <v>52.8</v>
      </c>
      <c r="G12" s="94">
        <f t="shared" si="6"/>
        <v>65.8</v>
      </c>
      <c r="H12" s="95">
        <f>$C12*Tariffs!$J$8</f>
        <v>112.77275312223904</v>
      </c>
      <c r="I12" s="95">
        <f t="shared" si="7"/>
        <v>178.57275312223902</v>
      </c>
      <c r="J12" s="95">
        <f>I12*Tariffs!$I$8</f>
        <v>31.250231796391827</v>
      </c>
      <c r="K12" s="96">
        <f t="shared" si="8"/>
        <v>209.82298491863085</v>
      </c>
      <c r="L12" s="113"/>
      <c r="M12" s="95">
        <f t="shared" si="9"/>
        <v>13</v>
      </c>
      <c r="N12" s="95">
        <f t="shared" si="10"/>
        <v>52.8</v>
      </c>
      <c r="O12" s="94">
        <f t="shared" si="11"/>
        <v>65.8</v>
      </c>
      <c r="P12" s="95">
        <f>$C12*Tariffs!$J$8</f>
        <v>112.77275312223904</v>
      </c>
      <c r="Q12" s="171"/>
      <c r="R12" s="95">
        <f>$C12*Tariffs!K$28</f>
        <v>4.4249999999999998E-2</v>
      </c>
      <c r="S12" s="171"/>
      <c r="T12" s="95">
        <f t="shared" si="0"/>
        <v>178.61700312223903</v>
      </c>
      <c r="U12" s="67"/>
      <c r="V12" s="95">
        <f>T12*(1+Tariffs!$I$8)</f>
        <v>209.87497866863086</v>
      </c>
      <c r="W12" s="82"/>
      <c r="X12" s="172">
        <f t="shared" si="1"/>
        <v>250</v>
      </c>
      <c r="Y12" s="95">
        <f t="shared" si="2"/>
        <v>5.1993750000008276E-2</v>
      </c>
      <c r="Z12" s="94">
        <f t="shared" si="3"/>
        <v>5.1993750000008276E-2</v>
      </c>
      <c r="AA12" s="282">
        <f t="shared" si="4"/>
        <v>2.4779816196107696E-4</v>
      </c>
      <c r="AB12" s="283">
        <f t="shared" si="5"/>
        <v>2.4779816196107696E-4</v>
      </c>
      <c r="AC12" s="66"/>
      <c r="AD12" s="66"/>
      <c r="AE12" s="66"/>
      <c r="AF12" s="66"/>
    </row>
    <row r="13" spans="2:32" x14ac:dyDescent="0.3">
      <c r="B13" s="66"/>
      <c r="C13" s="77">
        <v>300</v>
      </c>
      <c r="D13" s="78">
        <v>0.66466156023644996</v>
      </c>
      <c r="E13" s="67">
        <f>IF($C13&lt;=Tariffs!$E$29,Tariffs!$G$29,IF(AND($C13&gt;Tariffs!$E$29,$C13&lt;=Tariffs!$E$30),Tariffs!$G$30,Tariffs!$G$31))</f>
        <v>13</v>
      </c>
      <c r="F13" s="67">
        <f>IF($C13&gt;Tariffs!$E$31,(Tariffs!$F$29*Tariffs!$H$29)+(Tariffs!$F$30*Tariffs!$H$30)+(Tariffs!$F$31*Tariffs!$H$31)+(($C13-Tariffs!$E$31)*Tariffs!$H$32),IF(AND($C13&gt;Tariffs!$E$29,$C13&lt;=Tariffs!$E$30),(Tariffs!$F$29*Tariffs!$H$29)+(($C13-Tariffs!$E$29)*Tariffs!$H$30),IF(AND($C13&gt;Tariffs!$E$30,$C13&lt;=Tariffs!$E$31),(Tariffs!$F$29*Tariffs!$H$29)+(Tariffs!$F$30*Tariffs!$H$30)+(($C13-Tariffs!$E$30)*Tariffs!$H$31),$C13*Tariffs!$H$29)))</f>
        <v>64.650000000000006</v>
      </c>
      <c r="G13" s="80">
        <f t="shared" si="6"/>
        <v>77.650000000000006</v>
      </c>
      <c r="H13" s="67">
        <f>$C13*Tariffs!$J$8</f>
        <v>135.32730374668685</v>
      </c>
      <c r="I13" s="67">
        <f t="shared" si="7"/>
        <v>212.97730374668686</v>
      </c>
      <c r="J13" s="67">
        <f>I13*Tariffs!$I$8</f>
        <v>37.271028155670194</v>
      </c>
      <c r="K13" s="81">
        <f t="shared" si="8"/>
        <v>250.24833190235705</v>
      </c>
      <c r="L13" s="81"/>
      <c r="M13" s="67">
        <f t="shared" si="9"/>
        <v>13</v>
      </c>
      <c r="N13" s="67">
        <f t="shared" si="10"/>
        <v>64.650000000000006</v>
      </c>
      <c r="O13" s="80">
        <f t="shared" si="11"/>
        <v>77.650000000000006</v>
      </c>
      <c r="P13" s="67">
        <f>$C13*Tariffs!$J$8</f>
        <v>135.32730374668685</v>
      </c>
      <c r="Q13" s="67"/>
      <c r="R13" s="67">
        <f>$C13*Tariffs!K$28</f>
        <v>5.3099999999999994E-2</v>
      </c>
      <c r="S13" s="67"/>
      <c r="T13" s="67">
        <f t="shared" si="0"/>
        <v>213.03040374668686</v>
      </c>
      <c r="U13" s="67"/>
      <c r="V13" s="67">
        <f>T13*(1+Tariffs!$I$8)</f>
        <v>250.31072440235707</v>
      </c>
      <c r="W13" s="82"/>
      <c r="X13" s="83">
        <f t="shared" si="1"/>
        <v>300</v>
      </c>
      <c r="Y13" s="67">
        <f t="shared" si="2"/>
        <v>6.2392500000015616E-2</v>
      </c>
      <c r="Z13" s="80">
        <f t="shared" si="3"/>
        <v>6.2392500000015616E-2</v>
      </c>
      <c r="AA13" s="279">
        <f t="shared" si="4"/>
        <v>2.4932234123475894E-4</v>
      </c>
      <c r="AB13" s="277">
        <f t="shared" si="5"/>
        <v>2.4932234123475894E-4</v>
      </c>
      <c r="AC13" s="66"/>
      <c r="AD13" s="66"/>
      <c r="AE13" s="66"/>
      <c r="AF13" s="66"/>
    </row>
    <row r="14" spans="2:32" x14ac:dyDescent="0.3">
      <c r="B14" s="66"/>
      <c r="C14" s="91">
        <v>350</v>
      </c>
      <c r="D14" s="92">
        <v>0.70628312935364812</v>
      </c>
      <c r="E14" s="95">
        <f>IF($C14&lt;=Tariffs!$E$29,Tariffs!$G$29,IF(AND($C14&gt;Tariffs!$E$29,$C14&lt;=Tariffs!$E$30),Tariffs!$G$30,Tariffs!$G$31))</f>
        <v>13</v>
      </c>
      <c r="F14" s="95">
        <f>IF($C14&gt;Tariffs!$E$31,(Tariffs!$F$29*Tariffs!$H$29)+(Tariffs!$F$30*Tariffs!$H$30)+(Tariffs!$F$31*Tariffs!$H$31)+(($C14-Tariffs!$E$31)*Tariffs!$H$32),IF(AND($C14&gt;Tariffs!$E$29,$C14&lt;=Tariffs!$E$30),(Tariffs!$F$29*Tariffs!$H$29)+(($C14-Tariffs!$E$29)*Tariffs!$H$30),IF(AND($C14&gt;Tariffs!$E$30,$C14&lt;=Tariffs!$E$31),(Tariffs!$F$29*Tariffs!$H$29)+(Tariffs!$F$30*Tariffs!$H$30)+(($C14-Tariffs!$E$30)*Tariffs!$H$31),$C14*Tariffs!$H$29)))</f>
        <v>76.5</v>
      </c>
      <c r="G14" s="94">
        <f t="shared" si="6"/>
        <v>89.5</v>
      </c>
      <c r="H14" s="95">
        <f>$C14*Tariffs!$J$8</f>
        <v>157.88185437113466</v>
      </c>
      <c r="I14" s="95">
        <f t="shared" si="7"/>
        <v>247.38185437113466</v>
      </c>
      <c r="J14" s="95">
        <f>I14*Tariffs!$I$8</f>
        <v>43.291824514948566</v>
      </c>
      <c r="K14" s="96">
        <f t="shared" si="8"/>
        <v>290.67367888608322</v>
      </c>
      <c r="L14" s="113"/>
      <c r="M14" s="95">
        <f t="shared" si="9"/>
        <v>13</v>
      </c>
      <c r="N14" s="95">
        <f t="shared" si="10"/>
        <v>76.5</v>
      </c>
      <c r="O14" s="94">
        <f t="shared" si="11"/>
        <v>89.5</v>
      </c>
      <c r="P14" s="95">
        <f>$C14*Tariffs!$J$8</f>
        <v>157.88185437113466</v>
      </c>
      <c r="Q14" s="171"/>
      <c r="R14" s="95">
        <f>$C14*Tariffs!K$28</f>
        <v>6.1949999999999998E-2</v>
      </c>
      <c r="S14" s="171"/>
      <c r="T14" s="95">
        <f t="shared" si="0"/>
        <v>247.44380437113466</v>
      </c>
      <c r="U14" s="171"/>
      <c r="V14" s="95">
        <f>T14*(1+Tariffs!$I$8)</f>
        <v>290.74647013608325</v>
      </c>
      <c r="W14" s="178"/>
      <c r="X14" s="179">
        <f t="shared" si="1"/>
        <v>350</v>
      </c>
      <c r="Y14" s="95">
        <f t="shared" si="2"/>
        <v>7.2791250000022956E-2</v>
      </c>
      <c r="Z14" s="94">
        <f t="shared" si="3"/>
        <v>7.2791250000022956E-2</v>
      </c>
      <c r="AA14" s="282">
        <f t="shared" si="4"/>
        <v>2.5042257103891075E-4</v>
      </c>
      <c r="AB14" s="283">
        <f t="shared" si="5"/>
        <v>2.5042257103891075E-4</v>
      </c>
      <c r="AC14" s="66"/>
      <c r="AD14" s="66"/>
      <c r="AE14" s="66"/>
      <c r="AF14" s="66"/>
    </row>
    <row r="15" spans="2:32" x14ac:dyDescent="0.3">
      <c r="B15" s="66"/>
      <c r="C15" s="77">
        <v>400</v>
      </c>
      <c r="D15" s="78">
        <v>0.74123719923403553</v>
      </c>
      <c r="E15" s="67">
        <f>IF($C15&lt;=Tariffs!$E$29,Tariffs!$G$29,IF(AND($C15&gt;Tariffs!$E$29,$C15&lt;=Tariffs!$E$30),Tariffs!$G$30,Tariffs!$G$31))</f>
        <v>13</v>
      </c>
      <c r="F15" s="67">
        <f>IF($C15&gt;Tariffs!$E$31,(Tariffs!$F$29*Tariffs!$H$29)+(Tariffs!$F$30*Tariffs!$H$30)+(Tariffs!$F$31*Tariffs!$H$31)+(($C15-Tariffs!$E$31)*Tariffs!$H$32),IF(AND($C15&gt;Tariffs!$E$29,$C15&lt;=Tariffs!$E$30),(Tariffs!$F$29*Tariffs!$H$29)+(($C15-Tariffs!$E$29)*Tariffs!$H$30),IF(AND($C15&gt;Tariffs!$E$30,$C15&lt;=Tariffs!$E$31),(Tariffs!$F$29*Tariffs!$H$29)+(Tariffs!$F$30*Tariffs!$H$30)+(($C15-Tariffs!$E$30)*Tariffs!$H$31),$C15*Tariffs!$H$29)))</f>
        <v>88.35</v>
      </c>
      <c r="G15" s="80">
        <f t="shared" si="6"/>
        <v>101.35</v>
      </c>
      <c r="H15" s="67">
        <f>$C15*Tariffs!$J$8</f>
        <v>180.43640499558248</v>
      </c>
      <c r="I15" s="67">
        <f t="shared" si="7"/>
        <v>281.78640499558247</v>
      </c>
      <c r="J15" s="67">
        <f>I15*Tariffs!$I$8</f>
        <v>49.31262087422693</v>
      </c>
      <c r="K15" s="81">
        <f t="shared" si="8"/>
        <v>331.0990258698094</v>
      </c>
      <c r="L15" s="81"/>
      <c r="M15" s="67">
        <f t="shared" si="9"/>
        <v>13</v>
      </c>
      <c r="N15" s="67">
        <f t="shared" si="10"/>
        <v>88.35</v>
      </c>
      <c r="O15" s="80">
        <f t="shared" si="11"/>
        <v>101.35</v>
      </c>
      <c r="P15" s="67">
        <f>$C15*Tariffs!$J$8</f>
        <v>180.43640499558248</v>
      </c>
      <c r="Q15" s="67"/>
      <c r="R15" s="67">
        <f>$C15*Tariffs!K$28</f>
        <v>7.0800000000000002E-2</v>
      </c>
      <c r="S15" s="67"/>
      <c r="T15" s="67">
        <f t="shared" si="0"/>
        <v>281.85720499558249</v>
      </c>
      <c r="U15" s="67"/>
      <c r="V15" s="67">
        <f>T15*(1+Tariffs!$I$8)</f>
        <v>331.18221586980945</v>
      </c>
      <c r="W15" s="82"/>
      <c r="X15" s="83">
        <f t="shared" si="1"/>
        <v>400</v>
      </c>
      <c r="Y15" s="67">
        <f t="shared" si="2"/>
        <v>8.3190000000058717E-2</v>
      </c>
      <c r="Z15" s="80">
        <f t="shared" si="3"/>
        <v>8.3190000000058717E-2</v>
      </c>
      <c r="AA15" s="279">
        <f t="shared" si="4"/>
        <v>2.5125413698057208E-4</v>
      </c>
      <c r="AB15" s="277">
        <f t="shared" si="5"/>
        <v>2.5125413698057208E-4</v>
      </c>
      <c r="AC15" s="66"/>
      <c r="AD15" s="66"/>
      <c r="AE15" s="66"/>
      <c r="AF15" s="66"/>
    </row>
    <row r="16" spans="2:32" x14ac:dyDescent="0.3">
      <c r="B16" s="66"/>
      <c r="C16" s="84">
        <v>450</v>
      </c>
      <c r="D16" s="85">
        <v>0.76949601753947772</v>
      </c>
      <c r="E16" s="88">
        <f>IF($C16&lt;=Tariffs!$E$29,Tariffs!$G$29,IF(AND($C16&gt;Tariffs!$E$29,$C16&lt;=Tariffs!$E$30),Tariffs!$G$30,Tariffs!$G$31))</f>
        <v>13</v>
      </c>
      <c r="F16" s="88">
        <f>IF($C16&gt;Tariffs!$E$31,(Tariffs!$F$29*Tariffs!$H$29)+(Tariffs!$F$30*Tariffs!$H$30)+(Tariffs!$F$31*Tariffs!$H$31)+(($C16-Tariffs!$E$31)*Tariffs!$H$32),IF(AND($C16&gt;Tariffs!$E$29,$C16&lt;=Tariffs!$E$30),(Tariffs!$F$29*Tariffs!$H$29)+(($C16-Tariffs!$E$29)*Tariffs!$H$30),IF(AND($C16&gt;Tariffs!$E$30,$C16&lt;=Tariffs!$E$31),(Tariffs!$F$29*Tariffs!$H$29)+(Tariffs!$F$30*Tariffs!$H$30)+(($C16-Tariffs!$E$30)*Tariffs!$H$31),$C16*Tariffs!$H$29)))</f>
        <v>100.19999999999999</v>
      </c>
      <c r="G16" s="87">
        <f t="shared" si="6"/>
        <v>113.19999999999999</v>
      </c>
      <c r="H16" s="88">
        <f>$C16*Tariffs!$J$8</f>
        <v>202.99095562003026</v>
      </c>
      <c r="I16" s="88">
        <f t="shared" si="7"/>
        <v>316.19095562003025</v>
      </c>
      <c r="J16" s="88">
        <f>I16*Tariffs!$I$8</f>
        <v>55.333417233505294</v>
      </c>
      <c r="K16" s="89">
        <f t="shared" si="8"/>
        <v>371.52437285353557</v>
      </c>
      <c r="L16" s="81"/>
      <c r="M16" s="88">
        <f t="shared" si="9"/>
        <v>13</v>
      </c>
      <c r="N16" s="88">
        <f t="shared" si="10"/>
        <v>100.19999999999999</v>
      </c>
      <c r="O16" s="87">
        <f t="shared" si="11"/>
        <v>113.19999999999999</v>
      </c>
      <c r="P16" s="88">
        <f>$C16*Tariffs!$J$8</f>
        <v>202.99095562003026</v>
      </c>
      <c r="Q16" s="67"/>
      <c r="R16" s="88">
        <f>$C16*Tariffs!K$28</f>
        <v>7.9649999999999999E-2</v>
      </c>
      <c r="S16" s="67"/>
      <c r="T16" s="88">
        <f t="shared" si="0"/>
        <v>316.27060562003027</v>
      </c>
      <c r="U16" s="67"/>
      <c r="V16" s="88">
        <f>T16*(1+Tariffs!$I$8)</f>
        <v>371.6179616035356</v>
      </c>
      <c r="W16" s="82"/>
      <c r="X16" s="90">
        <f t="shared" si="1"/>
        <v>450</v>
      </c>
      <c r="Y16" s="88">
        <f t="shared" si="2"/>
        <v>9.3588750000037635E-2</v>
      </c>
      <c r="Z16" s="87">
        <f t="shared" si="3"/>
        <v>9.3588750000037635E-2</v>
      </c>
      <c r="AA16" s="280">
        <f t="shared" si="4"/>
        <v>2.519047385269868E-4</v>
      </c>
      <c r="AB16" s="281">
        <f t="shared" si="5"/>
        <v>2.519047385269868E-4</v>
      </c>
      <c r="AC16" s="66"/>
      <c r="AD16" s="66"/>
      <c r="AE16" s="66"/>
      <c r="AF16" s="66"/>
    </row>
    <row r="17" spans="2:32" x14ac:dyDescent="0.3">
      <c r="B17" s="66"/>
      <c r="C17" s="77">
        <v>500</v>
      </c>
      <c r="D17" s="78">
        <v>0.79401520828129768</v>
      </c>
      <c r="E17" s="67">
        <f>IF($C17&lt;=Tariffs!$E$29,Tariffs!$G$29,IF(AND($C17&gt;Tariffs!$E$29,$C17&lt;=Tariffs!$E$30),Tariffs!$G$30,Tariffs!$G$31))</f>
        <v>13</v>
      </c>
      <c r="F17" s="67">
        <f>IF($C17&gt;Tariffs!$E$31,(Tariffs!$F$29*Tariffs!$H$29)+(Tariffs!$F$30*Tariffs!$H$30)+(Tariffs!$F$31*Tariffs!$H$31)+(($C17-Tariffs!$E$31)*Tariffs!$H$32),IF(AND($C17&gt;Tariffs!$E$29,$C17&lt;=Tariffs!$E$30),(Tariffs!$F$29*Tariffs!$H$29)+(($C17-Tariffs!$E$29)*Tariffs!$H$30),IF(AND($C17&gt;Tariffs!$E$30,$C17&lt;=Tariffs!$E$31),(Tariffs!$F$29*Tariffs!$H$29)+(Tariffs!$F$30*Tariffs!$H$30)+(($C17-Tariffs!$E$30)*Tariffs!$H$31),$C17*Tariffs!$H$29)))</f>
        <v>112.05000000000001</v>
      </c>
      <c r="G17" s="80">
        <f t="shared" si="6"/>
        <v>125.05000000000001</v>
      </c>
      <c r="H17" s="67">
        <f>$C17*Tariffs!$J$8</f>
        <v>225.54550624447808</v>
      </c>
      <c r="I17" s="67">
        <f t="shared" si="7"/>
        <v>350.59550624447809</v>
      </c>
      <c r="J17" s="67">
        <f>I17*Tariffs!$I$8</f>
        <v>61.354213592783658</v>
      </c>
      <c r="K17" s="81">
        <f t="shared" si="8"/>
        <v>411.94971983726174</v>
      </c>
      <c r="L17" s="81"/>
      <c r="M17" s="67">
        <f t="shared" si="9"/>
        <v>13</v>
      </c>
      <c r="N17" s="67">
        <f t="shared" si="10"/>
        <v>112.05000000000001</v>
      </c>
      <c r="O17" s="80">
        <f t="shared" si="11"/>
        <v>125.05000000000001</v>
      </c>
      <c r="P17" s="67">
        <f>$C17*Tariffs!$J$8</f>
        <v>225.54550624447808</v>
      </c>
      <c r="Q17" s="67"/>
      <c r="R17" s="67">
        <f>$C17*Tariffs!K$28</f>
        <v>8.8499999999999995E-2</v>
      </c>
      <c r="S17" s="67"/>
      <c r="T17" s="67">
        <f t="shared" si="0"/>
        <v>350.6840062444781</v>
      </c>
      <c r="U17" s="67"/>
      <c r="V17" s="67">
        <f>T17*(1+Tariffs!$I$8)</f>
        <v>412.05370733726176</v>
      </c>
      <c r="W17" s="82"/>
      <c r="X17" s="83">
        <f t="shared" si="1"/>
        <v>500</v>
      </c>
      <c r="Y17" s="67">
        <f t="shared" si="2"/>
        <v>0.10398750000001655</v>
      </c>
      <c r="Z17" s="80">
        <f t="shared" si="3"/>
        <v>0.10398750000001655</v>
      </c>
      <c r="AA17" s="279">
        <f t="shared" si="4"/>
        <v>2.5242765073629769E-4</v>
      </c>
      <c r="AB17" s="277">
        <f t="shared" si="5"/>
        <v>2.5242765073629769E-4</v>
      </c>
      <c r="AC17" s="66"/>
      <c r="AD17" s="66"/>
      <c r="AE17" s="66"/>
      <c r="AF17" s="66"/>
    </row>
    <row r="18" spans="2:32" x14ac:dyDescent="0.3">
      <c r="B18" s="66"/>
      <c r="C18" s="84">
        <v>600</v>
      </c>
      <c r="D18" s="85">
        <v>0.83393000860322486</v>
      </c>
      <c r="E18" s="88">
        <f>IF($C18&lt;=Tariffs!$E$29,Tariffs!$G$29,IF(AND($C18&gt;Tariffs!$E$29,$C18&lt;=Tariffs!$E$30),Tariffs!$G$30,Tariffs!$G$31))</f>
        <v>19</v>
      </c>
      <c r="F18" s="88">
        <f>IF($C18&gt;Tariffs!$E$31,(Tariffs!$F$29*Tariffs!$H$29)+(Tariffs!$F$30*Tariffs!$H$30)+(Tariffs!$F$31*Tariffs!$H$31)+(($C18-Tariffs!$E$31)*Tariffs!$H$32),IF(AND($C18&gt;Tariffs!$E$29,$C18&lt;=Tariffs!$E$30),(Tariffs!$F$29*Tariffs!$H$29)+(($C18-Tariffs!$E$29)*Tariffs!$H$30),IF(AND($C18&gt;Tariffs!$E$30,$C18&lt;=Tariffs!$E$31),(Tariffs!$F$29*Tariffs!$H$29)+(Tariffs!$F$30*Tariffs!$H$30)+(($C18-Tariffs!$E$30)*Tariffs!$H$31),$C18*Tariffs!$H$29)))</f>
        <v>140.45000000000002</v>
      </c>
      <c r="G18" s="87">
        <f t="shared" si="6"/>
        <v>159.45000000000002</v>
      </c>
      <c r="H18" s="88">
        <f>$C18*Tariffs!$J$8</f>
        <v>270.6546074933737</v>
      </c>
      <c r="I18" s="88">
        <f t="shared" si="7"/>
        <v>430.10460749337369</v>
      </c>
      <c r="J18" s="88">
        <f>I18*Tariffs!$I$8</f>
        <v>75.268306311340396</v>
      </c>
      <c r="K18" s="89">
        <f t="shared" si="8"/>
        <v>505.37291380471407</v>
      </c>
      <c r="L18" s="81"/>
      <c r="M18" s="88">
        <f t="shared" si="9"/>
        <v>19</v>
      </c>
      <c r="N18" s="88">
        <f t="shared" si="10"/>
        <v>140.45000000000002</v>
      </c>
      <c r="O18" s="87">
        <f t="shared" si="11"/>
        <v>159.45000000000002</v>
      </c>
      <c r="P18" s="88">
        <f>$C18*Tariffs!$J$8</f>
        <v>270.6546074933737</v>
      </c>
      <c r="Q18" s="67"/>
      <c r="R18" s="88">
        <f>$C18*Tariffs!K$28</f>
        <v>0.10619999999999999</v>
      </c>
      <c r="S18" s="67"/>
      <c r="T18" s="88">
        <f t="shared" si="0"/>
        <v>430.21080749337369</v>
      </c>
      <c r="U18" s="67"/>
      <c r="V18" s="88">
        <f>T18*(1+Tariffs!$I$8)</f>
        <v>505.4976988047141</v>
      </c>
      <c r="W18" s="82"/>
      <c r="X18" s="90">
        <f t="shared" si="1"/>
        <v>600</v>
      </c>
      <c r="Y18" s="88">
        <f t="shared" si="2"/>
        <v>0.12478500000003123</v>
      </c>
      <c r="Z18" s="87">
        <f t="shared" si="3"/>
        <v>0.12478500000003123</v>
      </c>
      <c r="AA18" s="280">
        <f t="shared" si="4"/>
        <v>2.4691667596621336E-4</v>
      </c>
      <c r="AB18" s="281">
        <f t="shared" si="5"/>
        <v>2.4691667596621336E-4</v>
      </c>
      <c r="AC18" s="66"/>
      <c r="AD18" s="66"/>
      <c r="AE18" s="66"/>
      <c r="AF18" s="66"/>
    </row>
    <row r="19" spans="2:32" x14ac:dyDescent="0.3">
      <c r="B19" s="66"/>
      <c r="C19" s="77">
        <v>700</v>
      </c>
      <c r="D19" s="78">
        <v>0.86338217744845003</v>
      </c>
      <c r="E19" s="67">
        <f>IF($C19&lt;=Tariffs!$E$29,Tariffs!$G$29,IF(AND($C19&gt;Tariffs!$E$29,$C19&lt;=Tariffs!$E$30),Tariffs!$G$30,Tariffs!$G$31))</f>
        <v>19</v>
      </c>
      <c r="F19" s="67">
        <f>IF($C19&gt;Tariffs!$E$31,(Tariffs!$F$29*Tariffs!$H$29)+(Tariffs!$F$30*Tariffs!$H$30)+(Tariffs!$F$31*Tariffs!$H$31)+(($C19-Tariffs!$E$31)*Tariffs!$H$32),IF(AND($C19&gt;Tariffs!$E$29,$C19&lt;=Tariffs!$E$30),(Tariffs!$F$29*Tariffs!$H$29)+(($C19-Tariffs!$E$29)*Tariffs!$H$30),IF(AND($C19&gt;Tariffs!$E$30,$C19&lt;=Tariffs!$E$31),(Tariffs!$F$29*Tariffs!$H$29)+(Tariffs!$F$30*Tariffs!$H$30)+(($C19-Tariffs!$E$30)*Tariffs!$H$31),$C19*Tariffs!$H$29)))</f>
        <v>168.85000000000002</v>
      </c>
      <c r="G19" s="80">
        <f t="shared" si="6"/>
        <v>187.85000000000002</v>
      </c>
      <c r="H19" s="67">
        <f>$C19*Tariffs!$J$8</f>
        <v>315.76370874226933</v>
      </c>
      <c r="I19" s="67">
        <f t="shared" si="7"/>
        <v>503.61370874226935</v>
      </c>
      <c r="J19" s="67">
        <f>I19*Tariffs!$I$8</f>
        <v>88.13239902989713</v>
      </c>
      <c r="K19" s="81">
        <f t="shared" si="8"/>
        <v>591.74610777216651</v>
      </c>
      <c r="L19" s="81"/>
      <c r="M19" s="67">
        <f t="shared" si="9"/>
        <v>19</v>
      </c>
      <c r="N19" s="67">
        <f t="shared" si="10"/>
        <v>168.85000000000002</v>
      </c>
      <c r="O19" s="80">
        <f t="shared" si="11"/>
        <v>187.85000000000002</v>
      </c>
      <c r="P19" s="67">
        <f>$C19*Tariffs!$J$8</f>
        <v>315.76370874226933</v>
      </c>
      <c r="Q19" s="67"/>
      <c r="R19" s="67">
        <f>$C19*Tariffs!K$28</f>
        <v>0.1239</v>
      </c>
      <c r="S19" s="67"/>
      <c r="T19" s="67">
        <f t="shared" si="0"/>
        <v>503.73760874226934</v>
      </c>
      <c r="U19" s="67"/>
      <c r="V19" s="67">
        <f>T19*(1+Tariffs!$I$8)</f>
        <v>591.89169027216656</v>
      </c>
      <c r="W19" s="82"/>
      <c r="X19" s="83">
        <f t="shared" si="1"/>
        <v>700</v>
      </c>
      <c r="Y19" s="67">
        <f t="shared" si="2"/>
        <v>0.14558250000004591</v>
      </c>
      <c r="Z19" s="80">
        <f t="shared" si="3"/>
        <v>0.14558250000004591</v>
      </c>
      <c r="AA19" s="279">
        <f t="shared" si="4"/>
        <v>2.460218970399275E-4</v>
      </c>
      <c r="AB19" s="277">
        <f t="shared" si="5"/>
        <v>2.460218970399275E-4</v>
      </c>
      <c r="AC19" s="66"/>
      <c r="AD19" s="66"/>
      <c r="AE19" s="66"/>
      <c r="AF19" s="66"/>
    </row>
    <row r="20" spans="2:32" x14ac:dyDescent="0.3">
      <c r="B20" s="66"/>
      <c r="C20" s="84">
        <v>800</v>
      </c>
      <c r="D20" s="85">
        <v>0.88619459939499901</v>
      </c>
      <c r="E20" s="88">
        <f>IF($C20&lt;=Tariffs!$E$29,Tariffs!$G$29,IF(AND($C20&gt;Tariffs!$E$29,$C20&lt;=Tariffs!$E$30),Tariffs!$G$30,Tariffs!$G$31))</f>
        <v>19</v>
      </c>
      <c r="F20" s="88">
        <f>IF($C20&gt;Tariffs!$E$31,(Tariffs!$F$29*Tariffs!$H$29)+(Tariffs!$F$30*Tariffs!$H$30)+(Tariffs!$F$31*Tariffs!$H$31)+(($C20-Tariffs!$E$31)*Tariffs!$H$32),IF(AND($C20&gt;Tariffs!$E$29,$C20&lt;=Tariffs!$E$30),(Tariffs!$F$29*Tariffs!$H$29)+(($C20-Tariffs!$E$29)*Tariffs!$H$30),IF(AND($C20&gt;Tariffs!$E$30,$C20&lt;=Tariffs!$E$31),(Tariffs!$F$29*Tariffs!$H$29)+(Tariffs!$F$30*Tariffs!$H$30)+(($C20-Tariffs!$E$30)*Tariffs!$H$31),$C20*Tariffs!$H$29)))</f>
        <v>197.25</v>
      </c>
      <c r="G20" s="87">
        <f t="shared" si="6"/>
        <v>216.25</v>
      </c>
      <c r="H20" s="88">
        <f>$C20*Tariffs!$J$8</f>
        <v>360.87280999116496</v>
      </c>
      <c r="I20" s="88">
        <f t="shared" si="7"/>
        <v>577.12280999116501</v>
      </c>
      <c r="J20" s="88">
        <f>I20*Tariffs!$I$8</f>
        <v>100.99649174845388</v>
      </c>
      <c r="K20" s="89">
        <f t="shared" si="8"/>
        <v>678.11930173961889</v>
      </c>
      <c r="L20" s="81"/>
      <c r="M20" s="88">
        <f t="shared" si="9"/>
        <v>19</v>
      </c>
      <c r="N20" s="88">
        <f t="shared" si="10"/>
        <v>197.25</v>
      </c>
      <c r="O20" s="87">
        <f t="shared" si="11"/>
        <v>216.25</v>
      </c>
      <c r="P20" s="88">
        <f>$C20*Tariffs!$J$8</f>
        <v>360.87280999116496</v>
      </c>
      <c r="Q20" s="67"/>
      <c r="R20" s="88">
        <f>$C20*Tariffs!K$28</f>
        <v>0.1416</v>
      </c>
      <c r="S20" s="67"/>
      <c r="T20" s="88">
        <f t="shared" si="0"/>
        <v>577.26440999116505</v>
      </c>
      <c r="U20" s="67"/>
      <c r="V20" s="88">
        <f>T20*(1+Tariffs!$I$8)</f>
        <v>678.28568173961901</v>
      </c>
      <c r="W20" s="82"/>
      <c r="X20" s="90">
        <f t="shared" si="1"/>
        <v>800</v>
      </c>
      <c r="Y20" s="88">
        <f t="shared" si="2"/>
        <v>0.16638000000011743</v>
      </c>
      <c r="Z20" s="87">
        <f t="shared" si="3"/>
        <v>0.16638000000011743</v>
      </c>
      <c r="AA20" s="280">
        <f t="shared" si="4"/>
        <v>2.4535505710177041E-4</v>
      </c>
      <c r="AB20" s="281">
        <f t="shared" si="5"/>
        <v>2.4535505710177041E-4</v>
      </c>
      <c r="AC20" s="66"/>
      <c r="AD20" s="66"/>
      <c r="AE20" s="66"/>
      <c r="AF20" s="66"/>
    </row>
    <row r="21" spans="2:32" x14ac:dyDescent="0.3">
      <c r="B21" s="66"/>
      <c r="C21" s="77">
        <v>900</v>
      </c>
      <c r="D21" s="78">
        <v>0.90366469625065915</v>
      </c>
      <c r="E21" s="67">
        <f>IF($C21&lt;=Tariffs!$E$29,Tariffs!$G$29,IF(AND($C21&gt;Tariffs!$E$29,$C21&lt;=Tariffs!$E$30),Tariffs!$G$30,Tariffs!$G$31))</f>
        <v>19</v>
      </c>
      <c r="F21" s="67">
        <f>IF($C21&gt;Tariffs!$E$31,(Tariffs!$F$29*Tariffs!$H$29)+(Tariffs!$F$30*Tariffs!$H$30)+(Tariffs!$F$31*Tariffs!$H$31)+(($C21-Tariffs!$E$31)*Tariffs!$H$32),IF(AND($C21&gt;Tariffs!$E$29,$C21&lt;=Tariffs!$E$30),(Tariffs!$F$29*Tariffs!$H$29)+(($C21-Tariffs!$E$29)*Tariffs!$H$30),IF(AND($C21&gt;Tariffs!$E$30,$C21&lt;=Tariffs!$E$31),(Tariffs!$F$29*Tariffs!$H$29)+(Tariffs!$F$30*Tariffs!$H$30)+(($C21-Tariffs!$E$30)*Tariffs!$H$31),$C21*Tariffs!$H$29)))</f>
        <v>225.65</v>
      </c>
      <c r="G21" s="80">
        <f t="shared" si="6"/>
        <v>244.65</v>
      </c>
      <c r="H21" s="67">
        <f>$C21*Tariffs!$J$8</f>
        <v>405.98191124006053</v>
      </c>
      <c r="I21" s="67">
        <f t="shared" si="7"/>
        <v>650.6319112400605</v>
      </c>
      <c r="J21" s="67">
        <f>I21*Tariffs!$I$8</f>
        <v>113.86058446701058</v>
      </c>
      <c r="K21" s="81">
        <f t="shared" si="8"/>
        <v>764.49249570707104</v>
      </c>
      <c r="L21" s="81"/>
      <c r="M21" s="67">
        <f t="shared" si="9"/>
        <v>19</v>
      </c>
      <c r="N21" s="67">
        <f t="shared" si="10"/>
        <v>225.65</v>
      </c>
      <c r="O21" s="80">
        <f t="shared" si="11"/>
        <v>244.65</v>
      </c>
      <c r="P21" s="67">
        <f>$C21*Tariffs!$J$8</f>
        <v>405.98191124006053</v>
      </c>
      <c r="Q21" s="67"/>
      <c r="R21" s="67">
        <f>$C21*Tariffs!K$28</f>
        <v>0.1593</v>
      </c>
      <c r="S21" s="67"/>
      <c r="T21" s="67">
        <f t="shared" si="0"/>
        <v>650.79121124006053</v>
      </c>
      <c r="U21" s="67"/>
      <c r="V21" s="67">
        <f>T21*(1+Tariffs!$I$8)</f>
        <v>764.67967320707112</v>
      </c>
      <c r="W21" s="82"/>
      <c r="X21" s="83">
        <f t="shared" si="1"/>
        <v>900</v>
      </c>
      <c r="Y21" s="67">
        <f t="shared" si="2"/>
        <v>0.18717750000007527</v>
      </c>
      <c r="Z21" s="80">
        <f t="shared" si="3"/>
        <v>0.18717750000007527</v>
      </c>
      <c r="AA21" s="279">
        <f t="shared" si="4"/>
        <v>2.4483889776694134E-4</v>
      </c>
      <c r="AB21" s="277">
        <f t="shared" si="5"/>
        <v>2.4483889776694134E-4</v>
      </c>
      <c r="AC21" s="66"/>
      <c r="AD21" s="66"/>
      <c r="AE21" s="66"/>
      <c r="AF21" s="66"/>
    </row>
    <row r="22" spans="2:32" x14ac:dyDescent="0.3">
      <c r="B22" s="66"/>
      <c r="C22" s="84">
        <v>1000</v>
      </c>
      <c r="D22" s="85">
        <v>0.91704132323148224</v>
      </c>
      <c r="E22" s="88">
        <f>IF($C22&lt;=Tariffs!$E$29,Tariffs!$G$29,IF(AND($C22&gt;Tariffs!$E$29,$C22&lt;=Tariffs!$E$30),Tariffs!$G$30,Tariffs!$G$31))</f>
        <v>19</v>
      </c>
      <c r="F22" s="88">
        <f>IF($C22&gt;Tariffs!$E$31,(Tariffs!$F$29*Tariffs!$H$29)+(Tariffs!$F$30*Tariffs!$H$30)+(Tariffs!$F$31*Tariffs!$H$31)+(($C22-Tariffs!$E$31)*Tariffs!$H$32),IF(AND($C22&gt;Tariffs!$E$29,$C22&lt;=Tariffs!$E$30),(Tariffs!$F$29*Tariffs!$H$29)+(($C22-Tariffs!$E$29)*Tariffs!$H$30),IF(AND($C22&gt;Tariffs!$E$30,$C22&lt;=Tariffs!$E$31),(Tariffs!$F$29*Tariffs!$H$29)+(Tariffs!$F$30*Tariffs!$H$30)+(($C22-Tariffs!$E$30)*Tariffs!$H$31),$C22*Tariffs!$H$29)))</f>
        <v>254.05</v>
      </c>
      <c r="G22" s="87">
        <f t="shared" si="6"/>
        <v>273.05</v>
      </c>
      <c r="H22" s="88">
        <f>$C22*Tariffs!$J$8</f>
        <v>451.09101248895615</v>
      </c>
      <c r="I22" s="88">
        <f t="shared" si="7"/>
        <v>724.14101248895622</v>
      </c>
      <c r="J22" s="88">
        <f>I22*Tariffs!$I$8</f>
        <v>126.72467718556733</v>
      </c>
      <c r="K22" s="89">
        <f t="shared" si="8"/>
        <v>850.86568967452354</v>
      </c>
      <c r="L22" s="81"/>
      <c r="M22" s="88">
        <f t="shared" si="9"/>
        <v>19</v>
      </c>
      <c r="N22" s="88">
        <f t="shared" si="10"/>
        <v>254.05</v>
      </c>
      <c r="O22" s="87">
        <f t="shared" si="11"/>
        <v>273.05</v>
      </c>
      <c r="P22" s="88">
        <f>$C22*Tariffs!$J$8</f>
        <v>451.09101248895615</v>
      </c>
      <c r="Q22" s="67"/>
      <c r="R22" s="88">
        <f>$C22*Tariffs!K$28</f>
        <v>0.17699999999999999</v>
      </c>
      <c r="S22" s="67"/>
      <c r="T22" s="88">
        <f t="shared" si="0"/>
        <v>724.31801248895624</v>
      </c>
      <c r="U22" s="67"/>
      <c r="V22" s="88">
        <f>T22*(1+Tariffs!$I$8)</f>
        <v>851.07366467452357</v>
      </c>
      <c r="W22" s="82"/>
      <c r="X22" s="90">
        <f t="shared" si="1"/>
        <v>1000</v>
      </c>
      <c r="Y22" s="88">
        <f t="shared" si="2"/>
        <v>0.20797500000003311</v>
      </c>
      <c r="Z22" s="87">
        <f t="shared" si="3"/>
        <v>0.20797500000003311</v>
      </c>
      <c r="AA22" s="280">
        <f t="shared" si="4"/>
        <v>2.4442753130582417E-4</v>
      </c>
      <c r="AB22" s="281">
        <f t="shared" si="5"/>
        <v>2.4442753130582417E-4</v>
      </c>
      <c r="AC22" s="66"/>
      <c r="AD22" s="66"/>
      <c r="AE22" s="66"/>
      <c r="AF22" s="66"/>
    </row>
    <row r="23" spans="2:32" x14ac:dyDescent="0.3">
      <c r="B23" s="66"/>
      <c r="C23" s="77">
        <v>1100</v>
      </c>
      <c r="D23" s="78">
        <v>0.92812838231621009</v>
      </c>
      <c r="E23" s="67">
        <f>IF($C23&lt;=Tariffs!$E$29,Tariffs!$G$29,IF(AND($C23&gt;Tariffs!$E$29,$C23&lt;=Tariffs!$E$30),Tariffs!$G$30,Tariffs!$G$31))</f>
        <v>19</v>
      </c>
      <c r="F23" s="67">
        <f>IF($C23&gt;Tariffs!$E$31,(Tariffs!$F$29*Tariffs!$H$29)+(Tariffs!$F$30*Tariffs!$H$30)+(Tariffs!$F$31*Tariffs!$H$31)+(($C23-Tariffs!$E$31)*Tariffs!$H$32),IF(AND($C23&gt;Tariffs!$E$29,$C23&lt;=Tariffs!$E$30),(Tariffs!$F$29*Tariffs!$H$29)+(($C23-Tariffs!$E$29)*Tariffs!$H$30),IF(AND($C23&gt;Tariffs!$E$30,$C23&lt;=Tariffs!$E$31),(Tariffs!$F$29*Tariffs!$H$29)+(Tariffs!$F$30*Tariffs!$H$30)+(($C23-Tariffs!$E$30)*Tariffs!$H$31),$C23*Tariffs!$H$29)))</f>
        <v>282.45</v>
      </c>
      <c r="G23" s="80">
        <f t="shared" si="6"/>
        <v>301.45</v>
      </c>
      <c r="H23" s="67">
        <f>$C23*Tariffs!$J$8</f>
        <v>496.20011373785178</v>
      </c>
      <c r="I23" s="67">
        <f t="shared" si="7"/>
        <v>797.65011373785183</v>
      </c>
      <c r="J23" s="67">
        <f>I23*Tariffs!$I$8</f>
        <v>139.58876990412406</v>
      </c>
      <c r="K23" s="81">
        <f t="shared" si="8"/>
        <v>937.23888364197592</v>
      </c>
      <c r="L23" s="81"/>
      <c r="M23" s="67">
        <f t="shared" si="9"/>
        <v>19</v>
      </c>
      <c r="N23" s="67">
        <f t="shared" si="10"/>
        <v>282.45</v>
      </c>
      <c r="O23" s="80">
        <f t="shared" si="11"/>
        <v>301.45</v>
      </c>
      <c r="P23" s="67">
        <f>$C23*Tariffs!$J$8</f>
        <v>496.20011373785178</v>
      </c>
      <c r="Q23" s="67"/>
      <c r="R23" s="67">
        <f>$C23*Tariffs!K$28</f>
        <v>0.19469999999999998</v>
      </c>
      <c r="S23" s="67"/>
      <c r="T23" s="67">
        <f t="shared" si="0"/>
        <v>797.84481373785184</v>
      </c>
      <c r="U23" s="67"/>
      <c r="V23" s="67">
        <f>T23*(1+Tariffs!$I$8)</f>
        <v>937.46765614197591</v>
      </c>
      <c r="W23" s="82"/>
      <c r="X23" s="83">
        <f t="shared" si="1"/>
        <v>1100</v>
      </c>
      <c r="Y23" s="67">
        <f t="shared" si="2"/>
        <v>0.22877249999999094</v>
      </c>
      <c r="Z23" s="80">
        <f t="shared" si="3"/>
        <v>0.22877249999999094</v>
      </c>
      <c r="AA23" s="279">
        <f t="shared" si="4"/>
        <v>2.4409198550423561E-4</v>
      </c>
      <c r="AB23" s="277">
        <f t="shared" si="5"/>
        <v>2.4409198550423561E-4</v>
      </c>
      <c r="AC23" s="66"/>
      <c r="AD23" s="66"/>
      <c r="AE23" s="66"/>
      <c r="AF23" s="66"/>
    </row>
    <row r="24" spans="2:32" x14ac:dyDescent="0.3">
      <c r="B24" s="66"/>
      <c r="C24" s="84">
        <v>1200</v>
      </c>
      <c r="D24" s="85">
        <v>0.93821635722809638</v>
      </c>
      <c r="E24" s="88">
        <f>IF($C24&lt;=Tariffs!$E$29,Tariffs!$G$29,IF(AND($C24&gt;Tariffs!$E$29,$C24&lt;=Tariffs!$E$30),Tariffs!$G$30,Tariffs!$G$31))</f>
        <v>19</v>
      </c>
      <c r="F24" s="88">
        <f>IF($C24&gt;Tariffs!$E$31,(Tariffs!$F$29*Tariffs!$H$29)+(Tariffs!$F$30*Tariffs!$H$30)+(Tariffs!$F$31*Tariffs!$H$31)+(($C24-Tariffs!$E$31)*Tariffs!$H$32),IF(AND($C24&gt;Tariffs!$E$29,$C24&lt;=Tariffs!$E$30),(Tariffs!$F$29*Tariffs!$H$29)+(($C24-Tariffs!$E$29)*Tariffs!$H$30),IF(AND($C24&gt;Tariffs!$E$30,$C24&lt;=Tariffs!$E$31),(Tariffs!$F$29*Tariffs!$H$29)+(Tariffs!$F$30*Tariffs!$H$30)+(($C24-Tariffs!$E$30)*Tariffs!$H$31),$C24*Tariffs!$H$29)))</f>
        <v>310.85000000000002</v>
      </c>
      <c r="G24" s="87">
        <f t="shared" si="6"/>
        <v>329.85</v>
      </c>
      <c r="H24" s="88">
        <f>$C24*Tariffs!$J$8</f>
        <v>541.30921498674741</v>
      </c>
      <c r="I24" s="88">
        <f t="shared" si="7"/>
        <v>871.15921498674743</v>
      </c>
      <c r="J24" s="88">
        <f>I24*Tariffs!$I$8</f>
        <v>152.45286262268078</v>
      </c>
      <c r="K24" s="89">
        <f t="shared" si="8"/>
        <v>1023.6120776094282</v>
      </c>
      <c r="L24" s="81"/>
      <c r="M24" s="88">
        <f t="shared" si="9"/>
        <v>19</v>
      </c>
      <c r="N24" s="88">
        <f t="shared" si="10"/>
        <v>310.85000000000002</v>
      </c>
      <c r="O24" s="87">
        <f t="shared" si="11"/>
        <v>329.85</v>
      </c>
      <c r="P24" s="88">
        <f>$C24*Tariffs!$J$8</f>
        <v>541.30921498674741</v>
      </c>
      <c r="Q24" s="67"/>
      <c r="R24" s="88">
        <f>$C24*Tariffs!K$28</f>
        <v>0.21239999999999998</v>
      </c>
      <c r="S24" s="67"/>
      <c r="T24" s="88">
        <f t="shared" si="0"/>
        <v>871.37161498674743</v>
      </c>
      <c r="U24" s="67"/>
      <c r="V24" s="88">
        <f>T24*(1+Tariffs!$I$8)</f>
        <v>1023.8616476094282</v>
      </c>
      <c r="W24" s="82"/>
      <c r="X24" s="90">
        <f t="shared" si="1"/>
        <v>1200</v>
      </c>
      <c r="Y24" s="88">
        <f t="shared" si="2"/>
        <v>0.24957000000006246</v>
      </c>
      <c r="Z24" s="87">
        <f t="shared" si="3"/>
        <v>0.24957000000006246</v>
      </c>
      <c r="AA24" s="280">
        <f t="shared" si="4"/>
        <v>2.4381306694132299E-4</v>
      </c>
      <c r="AB24" s="281">
        <f t="shared" si="5"/>
        <v>2.4381306694132299E-4</v>
      </c>
      <c r="AC24" s="66"/>
      <c r="AD24" s="66"/>
      <c r="AE24" s="66"/>
      <c r="AF24" s="66"/>
    </row>
    <row r="25" spans="2:32" x14ac:dyDescent="0.3">
      <c r="B25" s="66"/>
      <c r="C25" s="77">
        <v>1300</v>
      </c>
      <c r="D25" s="78">
        <v>0.94619515444176161</v>
      </c>
      <c r="E25" s="67">
        <f>IF($C25&lt;=Tariffs!$E$29,Tariffs!$G$29,IF(AND($C25&gt;Tariffs!$E$29,$C25&lt;=Tariffs!$E$30),Tariffs!$G$30,Tariffs!$G$31))</f>
        <v>19</v>
      </c>
      <c r="F25" s="67">
        <f>IF($C25&gt;Tariffs!$E$31,(Tariffs!$F$29*Tariffs!$H$29)+(Tariffs!$F$30*Tariffs!$H$30)+(Tariffs!$F$31*Tariffs!$H$31)+(($C25-Tariffs!$E$31)*Tariffs!$H$32),IF(AND($C25&gt;Tariffs!$E$29,$C25&lt;=Tariffs!$E$30),(Tariffs!$F$29*Tariffs!$H$29)+(($C25-Tariffs!$E$29)*Tariffs!$H$30),IF(AND($C25&gt;Tariffs!$E$30,$C25&lt;=Tariffs!$E$31),(Tariffs!$F$29*Tariffs!$H$29)+(Tariffs!$F$30*Tariffs!$H$30)+(($C25-Tariffs!$E$30)*Tariffs!$H$31),$C25*Tariffs!$H$29)))</f>
        <v>339.25</v>
      </c>
      <c r="G25" s="80">
        <f t="shared" si="6"/>
        <v>358.25</v>
      </c>
      <c r="H25" s="67">
        <f>$C25*Tariffs!$J$8</f>
        <v>586.41831623564303</v>
      </c>
      <c r="I25" s="67">
        <f t="shared" si="7"/>
        <v>944.66831623564303</v>
      </c>
      <c r="J25" s="67">
        <f>I25*Tariffs!$I$8</f>
        <v>165.31695534123753</v>
      </c>
      <c r="K25" s="81">
        <f t="shared" si="8"/>
        <v>1109.9852715768807</v>
      </c>
      <c r="L25" s="81"/>
      <c r="M25" s="67">
        <f t="shared" si="9"/>
        <v>19</v>
      </c>
      <c r="N25" s="67">
        <f t="shared" si="10"/>
        <v>339.25</v>
      </c>
      <c r="O25" s="80">
        <f t="shared" si="11"/>
        <v>358.25</v>
      </c>
      <c r="P25" s="67">
        <f>$C25*Tariffs!$J$8</f>
        <v>586.41831623564303</v>
      </c>
      <c r="Q25" s="67"/>
      <c r="R25" s="67">
        <f>$C25*Tariffs!K$28</f>
        <v>0.2301</v>
      </c>
      <c r="S25" s="67"/>
      <c r="T25" s="67">
        <f t="shared" si="0"/>
        <v>944.89841623564303</v>
      </c>
      <c r="U25" s="67"/>
      <c r="V25" s="67">
        <f>T25*(1+Tariffs!$I$8)</f>
        <v>1110.2556390768807</v>
      </c>
      <c r="W25" s="82"/>
      <c r="X25" s="83">
        <f t="shared" si="1"/>
        <v>1300</v>
      </c>
      <c r="Y25" s="67">
        <f t="shared" si="2"/>
        <v>0.2703675000000203</v>
      </c>
      <c r="Z25" s="80">
        <f t="shared" si="3"/>
        <v>0.2703675000000203</v>
      </c>
      <c r="AA25" s="279">
        <f t="shared" si="4"/>
        <v>2.4357755631831957E-4</v>
      </c>
      <c r="AB25" s="277">
        <f t="shared" si="5"/>
        <v>2.4357755631831957E-4</v>
      </c>
      <c r="AC25" s="66"/>
      <c r="AD25" s="66"/>
      <c r="AE25" s="66"/>
      <c r="AF25" s="66"/>
    </row>
    <row r="26" spans="2:32" x14ac:dyDescent="0.3">
      <c r="B26" s="66"/>
      <c r="C26" s="84">
        <v>1400</v>
      </c>
      <c r="D26" s="85">
        <v>0.95289040601670683</v>
      </c>
      <c r="E26" s="88">
        <f>IF($C26&lt;=Tariffs!$E$29,Tariffs!$G$29,IF(AND($C26&gt;Tariffs!$E$29,$C26&lt;=Tariffs!$E$30),Tariffs!$G$30,Tariffs!$G$31))</f>
        <v>19</v>
      </c>
      <c r="F26" s="88">
        <f>IF($C26&gt;Tariffs!$E$31,(Tariffs!$F$29*Tariffs!$H$29)+(Tariffs!$F$30*Tariffs!$H$30)+(Tariffs!$F$31*Tariffs!$H$31)+(($C26-Tariffs!$E$31)*Tariffs!$H$32),IF(AND($C26&gt;Tariffs!$E$29,$C26&lt;=Tariffs!$E$30),(Tariffs!$F$29*Tariffs!$H$29)+(($C26-Tariffs!$E$29)*Tariffs!$H$30),IF(AND($C26&gt;Tariffs!$E$30,$C26&lt;=Tariffs!$E$31),(Tariffs!$F$29*Tariffs!$H$29)+(Tariffs!$F$30*Tariffs!$H$30)+(($C26-Tariffs!$E$30)*Tariffs!$H$31),$C26*Tariffs!$H$29)))</f>
        <v>367.65</v>
      </c>
      <c r="G26" s="87">
        <f t="shared" si="6"/>
        <v>386.65</v>
      </c>
      <c r="H26" s="88">
        <f>$C26*Tariffs!$J$8</f>
        <v>631.52741748453866</v>
      </c>
      <c r="I26" s="88">
        <f t="shared" si="7"/>
        <v>1018.1774174845386</v>
      </c>
      <c r="J26" s="88">
        <f>I26*Tariffs!$I$8</f>
        <v>178.18104805979425</v>
      </c>
      <c r="K26" s="89">
        <f t="shared" si="8"/>
        <v>1196.3584655443328</v>
      </c>
      <c r="L26" s="81"/>
      <c r="M26" s="88">
        <f t="shared" si="9"/>
        <v>19</v>
      </c>
      <c r="N26" s="88">
        <f t="shared" si="10"/>
        <v>367.65</v>
      </c>
      <c r="O26" s="87">
        <f t="shared" si="11"/>
        <v>386.65</v>
      </c>
      <c r="P26" s="88">
        <f>$C26*Tariffs!$J$8</f>
        <v>631.52741748453866</v>
      </c>
      <c r="Q26" s="67"/>
      <c r="R26" s="88">
        <f>$C26*Tariffs!K$28</f>
        <v>0.24779999999999999</v>
      </c>
      <c r="S26" s="67"/>
      <c r="T26" s="88">
        <f t="shared" si="0"/>
        <v>1018.4252174845386</v>
      </c>
      <c r="U26" s="67"/>
      <c r="V26" s="88">
        <f>T26*(1+Tariffs!$I$8)</f>
        <v>1196.6496305443329</v>
      </c>
      <c r="W26" s="82"/>
      <c r="X26" s="90">
        <f t="shared" si="1"/>
        <v>1400</v>
      </c>
      <c r="Y26" s="88">
        <f t="shared" si="2"/>
        <v>0.29116500000009182</v>
      </c>
      <c r="Z26" s="87">
        <f t="shared" si="3"/>
        <v>0.29116500000009182</v>
      </c>
      <c r="AA26" s="280">
        <f t="shared" si="4"/>
        <v>2.4337605189894695E-4</v>
      </c>
      <c r="AB26" s="281">
        <f t="shared" si="5"/>
        <v>2.4337605189894695E-4</v>
      </c>
      <c r="AC26" s="66"/>
      <c r="AD26" s="66"/>
      <c r="AE26" s="66"/>
      <c r="AF26" s="66"/>
    </row>
    <row r="27" spans="2:32" x14ac:dyDescent="0.3">
      <c r="B27" s="66"/>
      <c r="C27" s="77">
        <v>1500</v>
      </c>
      <c r="D27" s="78">
        <v>0.95882940637748726</v>
      </c>
      <c r="E27" s="67">
        <f>IF($C27&lt;=Tariffs!$E$29,Tariffs!$G$29,IF(AND($C27&gt;Tariffs!$E$29,$C27&lt;=Tariffs!$E$30),Tariffs!$G$30,Tariffs!$G$31))</f>
        <v>19</v>
      </c>
      <c r="F27" s="67">
        <f>IF($C27&gt;Tariffs!$E$31,(Tariffs!$F$29*Tariffs!$H$29)+(Tariffs!$F$30*Tariffs!$H$30)+(Tariffs!$F$31*Tariffs!$H$31)+(($C27-Tariffs!$E$31)*Tariffs!$H$32),IF(AND($C27&gt;Tariffs!$E$29,$C27&lt;=Tariffs!$E$30),(Tariffs!$F$29*Tariffs!$H$29)+(($C27-Tariffs!$E$29)*Tariffs!$H$30),IF(AND($C27&gt;Tariffs!$E$30,$C27&lt;=Tariffs!$E$31),(Tariffs!$F$29*Tariffs!$H$29)+(Tariffs!$F$30*Tariffs!$H$30)+(($C27-Tariffs!$E$30)*Tariffs!$H$31),$C27*Tariffs!$H$29)))</f>
        <v>396.05</v>
      </c>
      <c r="G27" s="80">
        <f t="shared" si="6"/>
        <v>415.05</v>
      </c>
      <c r="H27" s="67">
        <f>$C27*Tariffs!$J$8</f>
        <v>676.63651873343429</v>
      </c>
      <c r="I27" s="67">
        <f t="shared" si="7"/>
        <v>1091.6865187334342</v>
      </c>
      <c r="J27" s="67">
        <f>I27*Tariffs!$I$8</f>
        <v>191.04514077835097</v>
      </c>
      <c r="K27" s="81">
        <f t="shared" si="8"/>
        <v>1282.7316595117852</v>
      </c>
      <c r="L27" s="81"/>
      <c r="M27" s="67">
        <f t="shared" si="9"/>
        <v>19</v>
      </c>
      <c r="N27" s="67">
        <f t="shared" si="10"/>
        <v>396.05</v>
      </c>
      <c r="O27" s="80">
        <f t="shared" si="11"/>
        <v>415.05</v>
      </c>
      <c r="P27" s="67">
        <f>$C27*Tariffs!$J$8</f>
        <v>676.63651873343429</v>
      </c>
      <c r="Q27" s="67"/>
      <c r="R27" s="67">
        <f>$C27*Tariffs!K$28</f>
        <v>0.26550000000000001</v>
      </c>
      <c r="S27" s="67"/>
      <c r="T27" s="67">
        <f t="shared" si="0"/>
        <v>1091.9520187334342</v>
      </c>
      <c r="U27" s="67"/>
      <c r="V27" s="67">
        <f>T27*(1+Tariffs!$I$8)</f>
        <v>1283.0436220117851</v>
      </c>
      <c r="W27" s="82"/>
      <c r="X27" s="83">
        <f t="shared" si="1"/>
        <v>1500</v>
      </c>
      <c r="Y27" s="67">
        <f t="shared" si="2"/>
        <v>0.31196249999993597</v>
      </c>
      <c r="Z27" s="80">
        <f t="shared" si="3"/>
        <v>0.31196249999993597</v>
      </c>
      <c r="AA27" s="279">
        <f t="shared" si="4"/>
        <v>2.4320168422331534E-4</v>
      </c>
      <c r="AB27" s="277">
        <f t="shared" si="5"/>
        <v>2.4320168422331534E-4</v>
      </c>
      <c r="AC27" s="66"/>
      <c r="AD27" s="66"/>
      <c r="AE27" s="66"/>
      <c r="AF27" s="66"/>
    </row>
    <row r="28" spans="2:32" x14ac:dyDescent="0.3">
      <c r="B28" s="66"/>
      <c r="C28" s="84">
        <v>1600</v>
      </c>
      <c r="D28" s="85">
        <v>0.96358893236755194</v>
      </c>
      <c r="E28" s="88">
        <f>IF($C28&lt;=Tariffs!$E$29,Tariffs!$G$29,IF(AND($C28&gt;Tariffs!$E$29,$C28&lt;=Tariffs!$E$30),Tariffs!$G$30,Tariffs!$G$31))</f>
        <v>19</v>
      </c>
      <c r="F28" s="88">
        <f>IF($C28&gt;Tariffs!$E$31,(Tariffs!$F$29*Tariffs!$H$29)+(Tariffs!$F$30*Tariffs!$H$30)+(Tariffs!$F$31*Tariffs!$H$31)+(($C28-Tariffs!$E$31)*Tariffs!$H$32),IF(AND($C28&gt;Tariffs!$E$29,$C28&lt;=Tariffs!$E$30),(Tariffs!$F$29*Tariffs!$H$29)+(($C28-Tariffs!$E$29)*Tariffs!$H$30),IF(AND($C28&gt;Tariffs!$E$30,$C28&lt;=Tariffs!$E$31),(Tariffs!$F$29*Tariffs!$H$29)+(Tariffs!$F$30*Tariffs!$H$30)+(($C28-Tariffs!$E$30)*Tariffs!$H$31),$C28*Tariffs!$H$29)))</f>
        <v>428.05</v>
      </c>
      <c r="G28" s="87">
        <f t="shared" si="6"/>
        <v>447.05</v>
      </c>
      <c r="H28" s="88">
        <f>$C28*Tariffs!$J$8</f>
        <v>721.74561998232991</v>
      </c>
      <c r="I28" s="88">
        <f t="shared" si="7"/>
        <v>1168.79561998233</v>
      </c>
      <c r="J28" s="88">
        <f>I28*Tariffs!$I$8</f>
        <v>204.53923349690774</v>
      </c>
      <c r="K28" s="89">
        <f t="shared" si="8"/>
        <v>1373.3348534792376</v>
      </c>
      <c r="L28" s="81"/>
      <c r="M28" s="88">
        <f t="shared" si="9"/>
        <v>19</v>
      </c>
      <c r="N28" s="88">
        <f t="shared" si="10"/>
        <v>428.05</v>
      </c>
      <c r="O28" s="87">
        <f t="shared" si="11"/>
        <v>447.05</v>
      </c>
      <c r="P28" s="88">
        <f>$C28*Tariffs!$J$8</f>
        <v>721.74561998232991</v>
      </c>
      <c r="Q28" s="67"/>
      <c r="R28" s="88">
        <f>$C28*Tariffs!K$28</f>
        <v>0.28320000000000001</v>
      </c>
      <c r="S28" s="67"/>
      <c r="T28" s="88">
        <f t="shared" si="0"/>
        <v>1169.0788199823301</v>
      </c>
      <c r="U28" s="67"/>
      <c r="V28" s="88">
        <f>T28*(1+Tariffs!$I$8)</f>
        <v>1373.6676134792378</v>
      </c>
      <c r="W28" s="82"/>
      <c r="X28" s="114">
        <f t="shared" si="1"/>
        <v>1600</v>
      </c>
      <c r="Y28" s="136">
        <f t="shared" si="2"/>
        <v>0.33276000000023487</v>
      </c>
      <c r="Z28" s="177">
        <f t="shared" si="3"/>
        <v>0.33276000000023487</v>
      </c>
      <c r="AA28" s="284">
        <f t="shared" si="4"/>
        <v>2.4230070267083903E-4</v>
      </c>
      <c r="AB28" s="285">
        <f t="shared" si="5"/>
        <v>2.4230070267083903E-4</v>
      </c>
      <c r="AC28" s="66"/>
      <c r="AD28" s="66"/>
      <c r="AE28" s="66"/>
      <c r="AF28" s="66"/>
    </row>
    <row r="29" spans="2:32" x14ac:dyDescent="0.3">
      <c r="B29" s="66"/>
      <c r="C29" s="97"/>
      <c r="D29" s="97"/>
      <c r="E29" s="98"/>
      <c r="F29" s="98"/>
      <c r="G29" s="67"/>
      <c r="H29" s="67"/>
      <c r="I29" s="67"/>
      <c r="J29" s="67"/>
      <c r="K29" s="67"/>
      <c r="L29" s="3"/>
      <c r="M29" s="67"/>
      <c r="N29" s="67"/>
      <c r="O29" s="67"/>
      <c r="P29" s="67"/>
      <c r="Q29" s="67"/>
      <c r="R29" s="67"/>
      <c r="S29" s="67"/>
      <c r="T29" s="67"/>
      <c r="U29" s="67"/>
      <c r="V29" s="67"/>
      <c r="W29" s="66"/>
      <c r="X29" s="66"/>
      <c r="Y29" s="66"/>
      <c r="Z29" s="66"/>
      <c r="AA29" s="66"/>
      <c r="AB29" s="66"/>
      <c r="AC29" s="66"/>
      <c r="AD29" s="66"/>
      <c r="AE29" s="66"/>
      <c r="AF29" s="66"/>
    </row>
    <row r="30" spans="2:32" x14ac:dyDescent="0.3">
      <c r="L30" s="68"/>
    </row>
    <row r="31" spans="2:32" x14ac:dyDescent="0.3">
      <c r="L31" s="68"/>
    </row>
    <row r="32" spans="2:32" x14ac:dyDescent="0.3">
      <c r="L32" s="68"/>
    </row>
    <row r="33" spans="12:12" x14ac:dyDescent="0.3">
      <c r="L33" s="68"/>
    </row>
    <row r="34" spans="12:12" x14ac:dyDescent="0.3">
      <c r="L34" s="68"/>
    </row>
    <row r="35" spans="12:12" x14ac:dyDescent="0.3">
      <c r="L35" s="68"/>
    </row>
    <row r="36" spans="12:12" x14ac:dyDescent="0.3">
      <c r="L36" s="68"/>
    </row>
    <row r="37" spans="12:12" x14ac:dyDescent="0.3">
      <c r="L37" s="68"/>
    </row>
    <row r="38" spans="12:12" x14ac:dyDescent="0.3">
      <c r="L38" s="68"/>
    </row>
    <row r="39" spans="12:12" x14ac:dyDescent="0.3">
      <c r="L39" s="68"/>
    </row>
    <row r="40" spans="12:12" x14ac:dyDescent="0.3">
      <c r="L40" s="68"/>
    </row>
    <row r="41" spans="12:12" x14ac:dyDescent="0.3">
      <c r="L41" s="68"/>
    </row>
    <row r="42" spans="12:12" x14ac:dyDescent="0.3">
      <c r="L42" s="68"/>
    </row>
    <row r="43" spans="12:12" x14ac:dyDescent="0.3">
      <c r="L43" s="68"/>
    </row>
    <row r="44" spans="12:12" x14ac:dyDescent="0.3">
      <c r="L44" s="68"/>
    </row>
    <row r="45" spans="12:12" x14ac:dyDescent="0.3">
      <c r="L45" s="68"/>
    </row>
    <row r="46" spans="12:12" x14ac:dyDescent="0.3">
      <c r="L46" s="68"/>
    </row>
    <row r="47" spans="12:12" x14ac:dyDescent="0.3">
      <c r="L47" s="68"/>
    </row>
    <row r="48" spans="12:12" x14ac:dyDescent="0.3">
      <c r="L48" s="68"/>
    </row>
    <row r="49" spans="12:12" x14ac:dyDescent="0.3">
      <c r="L49" s="68"/>
    </row>
    <row r="50" spans="12:12" x14ac:dyDescent="0.3">
      <c r="L50" s="68"/>
    </row>
    <row r="51" spans="12:12" x14ac:dyDescent="0.3">
      <c r="L51" s="68"/>
    </row>
    <row r="52" spans="12:12" x14ac:dyDescent="0.3">
      <c r="L52" s="68"/>
    </row>
    <row r="53" spans="12:12" x14ac:dyDescent="0.3">
      <c r="L53" s="68"/>
    </row>
    <row r="54" spans="12:12" x14ac:dyDescent="0.3">
      <c r="L54" s="68"/>
    </row>
    <row r="55" spans="12:12" x14ac:dyDescent="0.3">
      <c r="L55" s="68"/>
    </row>
    <row r="56" spans="12:12" x14ac:dyDescent="0.3">
      <c r="L56" s="68"/>
    </row>
    <row r="57" spans="12:12" x14ac:dyDescent="0.3">
      <c r="L57" s="68"/>
    </row>
    <row r="58" spans="12:12" x14ac:dyDescent="0.3">
      <c r="L58" s="68"/>
    </row>
    <row r="59" spans="12:12" x14ac:dyDescent="0.3">
      <c r="L59" s="68"/>
    </row>
    <row r="60" spans="12:12" x14ac:dyDescent="0.3">
      <c r="L60" s="68"/>
    </row>
    <row r="61" spans="12:12" x14ac:dyDescent="0.3">
      <c r="L61" s="68"/>
    </row>
    <row r="62" spans="12:12" x14ac:dyDescent="0.3">
      <c r="L62" s="68"/>
    </row>
    <row r="63" spans="12:12" x14ac:dyDescent="0.3">
      <c r="L63" s="68"/>
    </row>
    <row r="64" spans="12:12" x14ac:dyDescent="0.3">
      <c r="L64" s="68"/>
    </row>
    <row r="65" spans="12:12" x14ac:dyDescent="0.3">
      <c r="L65" s="68"/>
    </row>
    <row r="66" spans="12:12" x14ac:dyDescent="0.3">
      <c r="L66" s="68"/>
    </row>
    <row r="67" spans="12:12" x14ac:dyDescent="0.3">
      <c r="L67" s="68"/>
    </row>
    <row r="68" spans="12:12" x14ac:dyDescent="0.3">
      <c r="L68" s="68"/>
    </row>
    <row r="69" spans="12:12" x14ac:dyDescent="0.3">
      <c r="L69" s="68"/>
    </row>
    <row r="70" spans="12:12" x14ac:dyDescent="0.3">
      <c r="L70" s="68"/>
    </row>
    <row r="71" spans="12:12" x14ac:dyDescent="0.3">
      <c r="L71" s="68"/>
    </row>
    <row r="72" spans="12:12" x14ac:dyDescent="0.3">
      <c r="L72" s="68"/>
    </row>
    <row r="73" spans="12:12" x14ac:dyDescent="0.3">
      <c r="L73" s="68"/>
    </row>
    <row r="74" spans="12:12" x14ac:dyDescent="0.3">
      <c r="L74" s="68"/>
    </row>
    <row r="75" spans="12:12" x14ac:dyDescent="0.3">
      <c r="L75" s="68"/>
    </row>
    <row r="76" spans="12:12" x14ac:dyDescent="0.3">
      <c r="L76" s="68"/>
    </row>
    <row r="77" spans="12:12" x14ac:dyDescent="0.3">
      <c r="L77" s="68"/>
    </row>
    <row r="78" spans="12:12" x14ac:dyDescent="0.3">
      <c r="L78" s="68"/>
    </row>
    <row r="79" spans="12:12" x14ac:dyDescent="0.3">
      <c r="L79" s="68"/>
    </row>
    <row r="80" spans="12:12" x14ac:dyDescent="0.3">
      <c r="L80" s="68"/>
    </row>
    <row r="81" spans="12:12" x14ac:dyDescent="0.3">
      <c r="L81" s="68"/>
    </row>
    <row r="82" spans="12:12" x14ac:dyDescent="0.3">
      <c r="L82" s="68"/>
    </row>
    <row r="83" spans="12:12" x14ac:dyDescent="0.3">
      <c r="L83" s="68"/>
    </row>
    <row r="84" spans="12:12" x14ac:dyDescent="0.3">
      <c r="L84" s="68"/>
    </row>
    <row r="85" spans="12:12" x14ac:dyDescent="0.3">
      <c r="L85" s="68"/>
    </row>
    <row r="86" spans="12:12" x14ac:dyDescent="0.3">
      <c r="L86" s="68"/>
    </row>
    <row r="87" spans="12:12" x14ac:dyDescent="0.3">
      <c r="L87" s="68"/>
    </row>
    <row r="88" spans="12:12" x14ac:dyDescent="0.3">
      <c r="L88" s="68"/>
    </row>
    <row r="89" spans="12:12" x14ac:dyDescent="0.3">
      <c r="L89" s="68"/>
    </row>
    <row r="90" spans="12:12" x14ac:dyDescent="0.3">
      <c r="L90" s="68"/>
    </row>
    <row r="91" spans="12:12" x14ac:dyDescent="0.3">
      <c r="L91" s="68"/>
    </row>
    <row r="92" spans="12:12" x14ac:dyDescent="0.3">
      <c r="L92" s="68"/>
    </row>
    <row r="93" spans="12:12" x14ac:dyDescent="0.3">
      <c r="L93" s="68"/>
    </row>
    <row r="94" spans="12:12" x14ac:dyDescent="0.3">
      <c r="L94" s="68"/>
    </row>
    <row r="95" spans="12:12" x14ac:dyDescent="0.3">
      <c r="L95" s="68"/>
    </row>
    <row r="96" spans="12:12" x14ac:dyDescent="0.3">
      <c r="L96" s="68"/>
    </row>
    <row r="97" spans="12:12" x14ac:dyDescent="0.3">
      <c r="L97" s="68"/>
    </row>
    <row r="98" spans="12:12" x14ac:dyDescent="0.3">
      <c r="L98" s="68"/>
    </row>
    <row r="99" spans="12:12" x14ac:dyDescent="0.3">
      <c r="L99" s="68"/>
    </row>
    <row r="100" spans="12:12" x14ac:dyDescent="0.3">
      <c r="L100" s="68"/>
    </row>
    <row r="101" spans="12:12" x14ac:dyDescent="0.3">
      <c r="L101" s="68"/>
    </row>
    <row r="102" spans="12:12" x14ac:dyDescent="0.3">
      <c r="L102" s="68"/>
    </row>
    <row r="103" spans="12:12" x14ac:dyDescent="0.3">
      <c r="L103" s="68"/>
    </row>
    <row r="104" spans="12:12" x14ac:dyDescent="0.3">
      <c r="L104" s="68"/>
    </row>
    <row r="105" spans="12:12" x14ac:dyDescent="0.3">
      <c r="L105" s="68"/>
    </row>
    <row r="106" spans="12:12" x14ac:dyDescent="0.3">
      <c r="L106" s="68"/>
    </row>
    <row r="107" spans="12:12" x14ac:dyDescent="0.3">
      <c r="L107" s="68"/>
    </row>
    <row r="108" spans="12:12" x14ac:dyDescent="0.3">
      <c r="L108" s="68"/>
    </row>
    <row r="109" spans="12:12" x14ac:dyDescent="0.3">
      <c r="L109" s="68"/>
    </row>
    <row r="110" spans="12:12" x14ac:dyDescent="0.3">
      <c r="L110" s="68"/>
    </row>
    <row r="111" spans="12:12" x14ac:dyDescent="0.3">
      <c r="L111" s="68"/>
    </row>
    <row r="112" spans="12:12" x14ac:dyDescent="0.3">
      <c r="L112" s="68"/>
    </row>
    <row r="113" spans="12:12" x14ac:dyDescent="0.3">
      <c r="L113" s="68"/>
    </row>
    <row r="114" spans="12:12" x14ac:dyDescent="0.3">
      <c r="L114" s="68"/>
    </row>
    <row r="115" spans="12:12" x14ac:dyDescent="0.3">
      <c r="L115" s="68"/>
    </row>
    <row r="116" spans="12:12" x14ac:dyDescent="0.3">
      <c r="L116" s="68"/>
    </row>
    <row r="117" spans="12:12" x14ac:dyDescent="0.3">
      <c r="L117" s="68"/>
    </row>
    <row r="118" spans="12:12" x14ac:dyDescent="0.3">
      <c r="L118" s="68"/>
    </row>
    <row r="119" spans="12:12" x14ac:dyDescent="0.3">
      <c r="L119" s="68"/>
    </row>
    <row r="120" spans="12:12" x14ac:dyDescent="0.3">
      <c r="L120" s="68"/>
    </row>
    <row r="121" spans="12:12" x14ac:dyDescent="0.3">
      <c r="L121" s="68"/>
    </row>
    <row r="122" spans="12:12" x14ac:dyDescent="0.3">
      <c r="L122" s="68"/>
    </row>
    <row r="123" spans="12:12" x14ac:dyDescent="0.3">
      <c r="L123" s="68"/>
    </row>
    <row r="124" spans="12:12" x14ac:dyDescent="0.3">
      <c r="L124" s="68"/>
    </row>
    <row r="125" spans="12:12" x14ac:dyDescent="0.3">
      <c r="L125" s="68"/>
    </row>
    <row r="126" spans="12:12" x14ac:dyDescent="0.3">
      <c r="L126" s="68"/>
    </row>
    <row r="127" spans="12:12" x14ac:dyDescent="0.3">
      <c r="L127" s="68"/>
    </row>
    <row r="128" spans="12:12" x14ac:dyDescent="0.3">
      <c r="L128" s="68"/>
    </row>
    <row r="129" spans="12:12" x14ac:dyDescent="0.3">
      <c r="L129" s="68"/>
    </row>
    <row r="130" spans="12:12" x14ac:dyDescent="0.3">
      <c r="L130" s="68"/>
    </row>
    <row r="131" spans="12:12" x14ac:dyDescent="0.3">
      <c r="L131" s="68"/>
    </row>
    <row r="132" spans="12:12" x14ac:dyDescent="0.3">
      <c r="L132" s="68"/>
    </row>
    <row r="133" spans="12:12" x14ac:dyDescent="0.3">
      <c r="L133" s="68"/>
    </row>
    <row r="134" spans="12:12" x14ac:dyDescent="0.3">
      <c r="L134" s="68"/>
    </row>
    <row r="135" spans="12:12" x14ac:dyDescent="0.3">
      <c r="L135" s="68"/>
    </row>
    <row r="136" spans="12:12" x14ac:dyDescent="0.3">
      <c r="L136" s="68"/>
    </row>
    <row r="137" spans="12:12" x14ac:dyDescent="0.3">
      <c r="L137" s="68"/>
    </row>
    <row r="138" spans="12:12" x14ac:dyDescent="0.3">
      <c r="L138" s="68"/>
    </row>
    <row r="139" spans="12:12" x14ac:dyDescent="0.3">
      <c r="L139" s="68"/>
    </row>
    <row r="140" spans="12:12" x14ac:dyDescent="0.3">
      <c r="L140" s="68"/>
    </row>
    <row r="141" spans="12:12" x14ac:dyDescent="0.3">
      <c r="L141" s="68"/>
    </row>
    <row r="142" spans="12:12" x14ac:dyDescent="0.3">
      <c r="L142" s="68"/>
    </row>
    <row r="143" spans="12:12" x14ac:dyDescent="0.3">
      <c r="L143" s="68"/>
    </row>
    <row r="144" spans="12:12" x14ac:dyDescent="0.3">
      <c r="L144" s="68"/>
    </row>
    <row r="145" spans="12:12" x14ac:dyDescent="0.3">
      <c r="L145" s="68"/>
    </row>
    <row r="146" spans="12:12" x14ac:dyDescent="0.3">
      <c r="L146" s="68"/>
    </row>
    <row r="147" spans="12:12" x14ac:dyDescent="0.3">
      <c r="L147" s="68"/>
    </row>
    <row r="148" spans="12:12" x14ac:dyDescent="0.3">
      <c r="L148" s="68"/>
    </row>
    <row r="149" spans="12:12" x14ac:dyDescent="0.3">
      <c r="L149" s="68"/>
    </row>
    <row r="150" spans="12:12" x14ac:dyDescent="0.3">
      <c r="L150" s="68"/>
    </row>
    <row r="151" spans="12:12" x14ac:dyDescent="0.3">
      <c r="L151" s="68"/>
    </row>
    <row r="152" spans="12:12" x14ac:dyDescent="0.3">
      <c r="L152" s="68"/>
    </row>
    <row r="153" spans="12:12" x14ac:dyDescent="0.3">
      <c r="L153" s="68"/>
    </row>
    <row r="154" spans="12:12" x14ac:dyDescent="0.3">
      <c r="L154" s="68"/>
    </row>
    <row r="155" spans="12:12" x14ac:dyDescent="0.3">
      <c r="L155" s="68"/>
    </row>
    <row r="156" spans="12:12" x14ac:dyDescent="0.3">
      <c r="L156" s="68"/>
    </row>
    <row r="157" spans="12:12" x14ac:dyDescent="0.3">
      <c r="L157" s="68"/>
    </row>
    <row r="158" spans="12:12" x14ac:dyDescent="0.3">
      <c r="L158" s="68"/>
    </row>
    <row r="159" spans="12:12" x14ac:dyDescent="0.3">
      <c r="L159" s="68"/>
    </row>
    <row r="160" spans="12:12" x14ac:dyDescent="0.3">
      <c r="L160" s="68"/>
    </row>
    <row r="161" spans="12:12" x14ac:dyDescent="0.3">
      <c r="L161" s="68"/>
    </row>
    <row r="162" spans="12:12" x14ac:dyDescent="0.3">
      <c r="L162" s="68"/>
    </row>
    <row r="163" spans="12:12" x14ac:dyDescent="0.3">
      <c r="L163" s="68"/>
    </row>
    <row r="164" spans="12:12" x14ac:dyDescent="0.3">
      <c r="L164" s="68"/>
    </row>
    <row r="165" spans="12:12" x14ac:dyDescent="0.3">
      <c r="L165" s="68"/>
    </row>
    <row r="166" spans="12:12" x14ac:dyDescent="0.3">
      <c r="L166" s="68"/>
    </row>
    <row r="167" spans="12:12" x14ac:dyDescent="0.3">
      <c r="L167" s="68"/>
    </row>
    <row r="168" spans="12:12" x14ac:dyDescent="0.3">
      <c r="L168" s="68"/>
    </row>
    <row r="169" spans="12:12" x14ac:dyDescent="0.3">
      <c r="L169" s="68"/>
    </row>
    <row r="170" spans="12:12" x14ac:dyDescent="0.3">
      <c r="L170" s="68"/>
    </row>
    <row r="171" spans="12:12" x14ac:dyDescent="0.3">
      <c r="L171" s="68"/>
    </row>
    <row r="172" spans="12:12" x14ac:dyDescent="0.3">
      <c r="L172" s="68"/>
    </row>
    <row r="173" spans="12:12" x14ac:dyDescent="0.3">
      <c r="L173" s="68"/>
    </row>
    <row r="174" spans="12:12" x14ac:dyDescent="0.3">
      <c r="L174" s="68"/>
    </row>
    <row r="175" spans="12:12" x14ac:dyDescent="0.3">
      <c r="L175" s="68"/>
    </row>
    <row r="176" spans="12:12" x14ac:dyDescent="0.3">
      <c r="L176" s="68"/>
    </row>
    <row r="177" spans="12:12" x14ac:dyDescent="0.3">
      <c r="L177" s="68"/>
    </row>
    <row r="178" spans="12:12" x14ac:dyDescent="0.3">
      <c r="L178" s="68"/>
    </row>
    <row r="179" spans="12:12" x14ac:dyDescent="0.3">
      <c r="L179" s="68"/>
    </row>
    <row r="180" spans="12:12" x14ac:dyDescent="0.3">
      <c r="L180" s="68"/>
    </row>
    <row r="181" spans="12:12" x14ac:dyDescent="0.3">
      <c r="L181" s="68"/>
    </row>
    <row r="182" spans="12:12" x14ac:dyDescent="0.3">
      <c r="L182" s="68"/>
    </row>
    <row r="183" spans="12:12" x14ac:dyDescent="0.3">
      <c r="L183" s="68"/>
    </row>
    <row r="184" spans="12:12" x14ac:dyDescent="0.3">
      <c r="L184" s="68"/>
    </row>
    <row r="185" spans="12:12" x14ac:dyDescent="0.3">
      <c r="L185" s="68"/>
    </row>
    <row r="186" spans="12:12" x14ac:dyDescent="0.3">
      <c r="L186" s="68"/>
    </row>
    <row r="187" spans="12:12" x14ac:dyDescent="0.3">
      <c r="L187" s="68"/>
    </row>
    <row r="188" spans="12:12" x14ac:dyDescent="0.3">
      <c r="L188" s="68"/>
    </row>
    <row r="189" spans="12:12" x14ac:dyDescent="0.3">
      <c r="L189" s="68"/>
    </row>
    <row r="190" spans="12:12" x14ac:dyDescent="0.3">
      <c r="L190" s="68"/>
    </row>
    <row r="191" spans="12:12" x14ac:dyDescent="0.3">
      <c r="L191" s="68"/>
    </row>
    <row r="192" spans="12:12" x14ac:dyDescent="0.3">
      <c r="L192" s="68"/>
    </row>
    <row r="193" spans="12:12" x14ac:dyDescent="0.3">
      <c r="L193" s="68"/>
    </row>
    <row r="194" spans="12:12" x14ac:dyDescent="0.3">
      <c r="L194" s="68"/>
    </row>
    <row r="195" spans="12:12" x14ac:dyDescent="0.3">
      <c r="L195" s="68"/>
    </row>
    <row r="196" spans="12:12" x14ac:dyDescent="0.3">
      <c r="L196" s="68"/>
    </row>
    <row r="197" spans="12:12" x14ac:dyDescent="0.3">
      <c r="L197" s="68"/>
    </row>
    <row r="198" spans="12:12" x14ac:dyDescent="0.3">
      <c r="L198" s="68"/>
    </row>
    <row r="199" spans="12:12" x14ac:dyDescent="0.3">
      <c r="L199" s="68"/>
    </row>
    <row r="200" spans="12:12" x14ac:dyDescent="0.3">
      <c r="L200" s="68"/>
    </row>
    <row r="201" spans="12:12" x14ac:dyDescent="0.3">
      <c r="L201" s="68"/>
    </row>
    <row r="202" spans="12:12" x14ac:dyDescent="0.3">
      <c r="L202" s="68"/>
    </row>
    <row r="203" spans="12:12" x14ac:dyDescent="0.3">
      <c r="L203" s="68"/>
    </row>
    <row r="204" spans="12:12" x14ac:dyDescent="0.3">
      <c r="L204" s="68"/>
    </row>
    <row r="205" spans="12:12" x14ac:dyDescent="0.3">
      <c r="L205" s="68"/>
    </row>
    <row r="206" spans="12:12" x14ac:dyDescent="0.3">
      <c r="L206" s="68"/>
    </row>
    <row r="207" spans="12:12" x14ac:dyDescent="0.3">
      <c r="L207" s="68"/>
    </row>
    <row r="208" spans="12:12" x14ac:dyDescent="0.3">
      <c r="L208" s="68"/>
    </row>
    <row r="209" spans="12:12" x14ac:dyDescent="0.3">
      <c r="L209" s="68"/>
    </row>
    <row r="210" spans="12:12" x14ac:dyDescent="0.3">
      <c r="L210" s="68"/>
    </row>
    <row r="211" spans="12:12" x14ac:dyDescent="0.3">
      <c r="L211" s="68"/>
    </row>
    <row r="212" spans="12:12" x14ac:dyDescent="0.3">
      <c r="L212" s="68"/>
    </row>
    <row r="213" spans="12:12" x14ac:dyDescent="0.3">
      <c r="L213" s="68"/>
    </row>
    <row r="214" spans="12:12" x14ac:dyDescent="0.3">
      <c r="L214" s="68"/>
    </row>
    <row r="215" spans="12:12" x14ac:dyDescent="0.3">
      <c r="L215" s="68"/>
    </row>
    <row r="216" spans="12:12" x14ac:dyDescent="0.3">
      <c r="L216" s="68"/>
    </row>
    <row r="217" spans="12:12" x14ac:dyDescent="0.3">
      <c r="L217" s="68"/>
    </row>
    <row r="218" spans="12:12" x14ac:dyDescent="0.3">
      <c r="L218" s="68"/>
    </row>
    <row r="219" spans="12:12" x14ac:dyDescent="0.3">
      <c r="L219" s="68"/>
    </row>
    <row r="220" spans="12:12" x14ac:dyDescent="0.3">
      <c r="L220" s="68"/>
    </row>
    <row r="221" spans="12:12" x14ac:dyDescent="0.3">
      <c r="L221" s="68"/>
    </row>
    <row r="222" spans="12:12" x14ac:dyDescent="0.3">
      <c r="L222" s="68"/>
    </row>
    <row r="223" spans="12:12" x14ac:dyDescent="0.3">
      <c r="L223" s="68"/>
    </row>
    <row r="224" spans="12:12" x14ac:dyDescent="0.3">
      <c r="L224" s="68"/>
    </row>
    <row r="225" spans="12:12" x14ac:dyDescent="0.3">
      <c r="L225" s="68"/>
    </row>
    <row r="226" spans="12:12" x14ac:dyDescent="0.3">
      <c r="L226" s="68"/>
    </row>
    <row r="227" spans="12:12" x14ac:dyDescent="0.3">
      <c r="L227" s="68"/>
    </row>
    <row r="228" spans="12:12" x14ac:dyDescent="0.3">
      <c r="L228" s="68"/>
    </row>
    <row r="229" spans="12:12" x14ac:dyDescent="0.3">
      <c r="L229" s="68"/>
    </row>
    <row r="230" spans="12:12" x14ac:dyDescent="0.3">
      <c r="L230" s="68"/>
    </row>
    <row r="231" spans="12:12" x14ac:dyDescent="0.3">
      <c r="L231" s="68"/>
    </row>
    <row r="232" spans="12:12" x14ac:dyDescent="0.3">
      <c r="L232" s="68"/>
    </row>
    <row r="233" spans="12:12" x14ac:dyDescent="0.3">
      <c r="L233" s="68"/>
    </row>
    <row r="234" spans="12:12" x14ac:dyDescent="0.3">
      <c r="L234" s="68"/>
    </row>
    <row r="235" spans="12:12" x14ac:dyDescent="0.3">
      <c r="L235" s="68"/>
    </row>
    <row r="236" spans="12:12" x14ac:dyDescent="0.3">
      <c r="L236" s="68"/>
    </row>
    <row r="237" spans="12:12" x14ac:dyDescent="0.3">
      <c r="L237" s="68"/>
    </row>
    <row r="238" spans="12:12" x14ac:dyDescent="0.3">
      <c r="L238" s="68"/>
    </row>
    <row r="239" spans="12:12" x14ac:dyDescent="0.3">
      <c r="L239" s="68"/>
    </row>
    <row r="240" spans="12:12" x14ac:dyDescent="0.3">
      <c r="L240" s="68"/>
    </row>
    <row r="241" spans="12:12" x14ac:dyDescent="0.3">
      <c r="L241" s="68"/>
    </row>
    <row r="242" spans="12:12" x14ac:dyDescent="0.3">
      <c r="L242" s="68"/>
    </row>
    <row r="243" spans="12:12" x14ac:dyDescent="0.3">
      <c r="L243" s="68"/>
    </row>
    <row r="244" spans="12:12" x14ac:dyDescent="0.3">
      <c r="L244" s="68"/>
    </row>
    <row r="245" spans="12:12" x14ac:dyDescent="0.3">
      <c r="L245" s="68"/>
    </row>
    <row r="246" spans="12:12" x14ac:dyDescent="0.3">
      <c r="L246" s="68"/>
    </row>
    <row r="247" spans="12:12" x14ac:dyDescent="0.3">
      <c r="L247" s="68"/>
    </row>
    <row r="248" spans="12:12" x14ac:dyDescent="0.3">
      <c r="L248" s="68"/>
    </row>
    <row r="249" spans="12:12" x14ac:dyDescent="0.3">
      <c r="L249" s="68"/>
    </row>
    <row r="250" spans="12:12" x14ac:dyDescent="0.3">
      <c r="L250" s="68"/>
    </row>
    <row r="251" spans="12:12" x14ac:dyDescent="0.3">
      <c r="L251" s="68"/>
    </row>
    <row r="252" spans="12:12" x14ac:dyDescent="0.3">
      <c r="L252" s="68"/>
    </row>
    <row r="253" spans="12:12" x14ac:dyDescent="0.3">
      <c r="L253" s="68"/>
    </row>
    <row r="254" spans="12:12" x14ac:dyDescent="0.3">
      <c r="L254" s="68"/>
    </row>
    <row r="255" spans="12:12" x14ac:dyDescent="0.3">
      <c r="L255" s="68"/>
    </row>
    <row r="256" spans="12:12" x14ac:dyDescent="0.3">
      <c r="L256" s="68"/>
    </row>
    <row r="257" spans="12:12" x14ac:dyDescent="0.3">
      <c r="L257" s="68"/>
    </row>
    <row r="258" spans="12:12" x14ac:dyDescent="0.3">
      <c r="L258" s="68"/>
    </row>
    <row r="259" spans="12:12" x14ac:dyDescent="0.3">
      <c r="L259" s="68"/>
    </row>
    <row r="260" spans="12:12" x14ac:dyDescent="0.3">
      <c r="L260" s="68"/>
    </row>
    <row r="261" spans="12:12" x14ac:dyDescent="0.3">
      <c r="L261" s="68"/>
    </row>
    <row r="262" spans="12:12" x14ac:dyDescent="0.3">
      <c r="L262" s="68"/>
    </row>
    <row r="263" spans="12:12" x14ac:dyDescent="0.3">
      <c r="L263" s="68"/>
    </row>
    <row r="264" spans="12:12" x14ac:dyDescent="0.3">
      <c r="L264" s="68"/>
    </row>
    <row r="265" spans="12:12" x14ac:dyDescent="0.3">
      <c r="L265" s="68"/>
    </row>
    <row r="266" spans="12:12" x14ac:dyDescent="0.3">
      <c r="L266" s="68"/>
    </row>
    <row r="267" spans="12:12" x14ac:dyDescent="0.3">
      <c r="L267" s="68"/>
    </row>
    <row r="268" spans="12:12" x14ac:dyDescent="0.3">
      <c r="L268" s="68"/>
    </row>
    <row r="269" spans="12:12" x14ac:dyDescent="0.3">
      <c r="L269" s="68"/>
    </row>
    <row r="270" spans="12:12" x14ac:dyDescent="0.3">
      <c r="L270" s="68"/>
    </row>
    <row r="271" spans="12:12" x14ac:dyDescent="0.3">
      <c r="L271" s="68"/>
    </row>
    <row r="272" spans="12:12" x14ac:dyDescent="0.3">
      <c r="L272" s="68"/>
    </row>
    <row r="273" spans="12:12" x14ac:dyDescent="0.3">
      <c r="L273" s="68"/>
    </row>
    <row r="274" spans="12:12" x14ac:dyDescent="0.3">
      <c r="L274" s="68"/>
    </row>
    <row r="275" spans="12:12" x14ac:dyDescent="0.3">
      <c r="L275" s="68"/>
    </row>
    <row r="276" spans="12:12" x14ac:dyDescent="0.3">
      <c r="L276" s="68"/>
    </row>
    <row r="277" spans="12:12" x14ac:dyDescent="0.3">
      <c r="L277" s="68"/>
    </row>
    <row r="278" spans="12:12" x14ac:dyDescent="0.3">
      <c r="L278" s="68"/>
    </row>
    <row r="279" spans="12:12" x14ac:dyDescent="0.3">
      <c r="L279" s="68"/>
    </row>
    <row r="280" spans="12:12" x14ac:dyDescent="0.3">
      <c r="L280" s="68"/>
    </row>
    <row r="281" spans="12:12" x14ac:dyDescent="0.3">
      <c r="L281" s="68"/>
    </row>
    <row r="282" spans="12:12" x14ac:dyDescent="0.3">
      <c r="L282" s="68"/>
    </row>
    <row r="283" spans="12:12" x14ac:dyDescent="0.3">
      <c r="L283" s="68"/>
    </row>
    <row r="284" spans="12:12" x14ac:dyDescent="0.3">
      <c r="L284" s="68"/>
    </row>
    <row r="285" spans="12:12" x14ac:dyDescent="0.3">
      <c r="L285" s="68"/>
    </row>
    <row r="286" spans="12:12" x14ac:dyDescent="0.3">
      <c r="L286" s="68"/>
    </row>
    <row r="287" spans="12:12" x14ac:dyDescent="0.3">
      <c r="L287" s="68"/>
    </row>
    <row r="288" spans="12:12" x14ac:dyDescent="0.3">
      <c r="L288" s="68"/>
    </row>
    <row r="289" spans="12:12" x14ac:dyDescent="0.3">
      <c r="L289" s="68"/>
    </row>
    <row r="290" spans="12:12" x14ac:dyDescent="0.3">
      <c r="L290" s="68"/>
    </row>
    <row r="291" spans="12:12" x14ac:dyDescent="0.3">
      <c r="L291" s="68"/>
    </row>
    <row r="292" spans="12:12" x14ac:dyDescent="0.3">
      <c r="L292" s="68"/>
    </row>
    <row r="293" spans="12:12" x14ac:dyDescent="0.3">
      <c r="L293" s="68"/>
    </row>
    <row r="294" spans="12:12" x14ac:dyDescent="0.3">
      <c r="L294" s="68"/>
    </row>
    <row r="295" spans="12:12" x14ac:dyDescent="0.3">
      <c r="L295" s="68"/>
    </row>
    <row r="296" spans="12:12" x14ac:dyDescent="0.3">
      <c r="L296" s="68"/>
    </row>
    <row r="297" spans="12:12" x14ac:dyDescent="0.3">
      <c r="L297" s="68"/>
    </row>
    <row r="298" spans="12:12" x14ac:dyDescent="0.3">
      <c r="L298" s="68"/>
    </row>
    <row r="299" spans="12:12" x14ac:dyDescent="0.3">
      <c r="L299" s="68"/>
    </row>
    <row r="300" spans="12:12" x14ac:dyDescent="0.3">
      <c r="L300" s="68"/>
    </row>
    <row r="301" spans="12:12" x14ac:dyDescent="0.3">
      <c r="L301" s="68"/>
    </row>
    <row r="302" spans="12:12" x14ac:dyDescent="0.3">
      <c r="L302" s="68"/>
    </row>
    <row r="303" spans="12:12" x14ac:dyDescent="0.3">
      <c r="L303" s="68"/>
    </row>
    <row r="304" spans="12:12" x14ac:dyDescent="0.3">
      <c r="L304" s="68"/>
    </row>
    <row r="305" spans="12:12" x14ac:dyDescent="0.3">
      <c r="L305" s="68"/>
    </row>
    <row r="306" spans="12:12" x14ac:dyDescent="0.3">
      <c r="L306" s="68"/>
    </row>
    <row r="307" spans="12:12" x14ac:dyDescent="0.3">
      <c r="L307" s="68"/>
    </row>
    <row r="308" spans="12:12" x14ac:dyDescent="0.3">
      <c r="L308" s="68"/>
    </row>
    <row r="309" spans="12:12" x14ac:dyDescent="0.3">
      <c r="L309" s="68"/>
    </row>
    <row r="310" spans="12:12" x14ac:dyDescent="0.3">
      <c r="L310" s="68"/>
    </row>
    <row r="311" spans="12:12" x14ac:dyDescent="0.3">
      <c r="L311" s="68"/>
    </row>
    <row r="312" spans="12:12" x14ac:dyDescent="0.3">
      <c r="L312" s="68"/>
    </row>
    <row r="313" spans="12:12" x14ac:dyDescent="0.3">
      <c r="L313" s="68"/>
    </row>
    <row r="314" spans="12:12" x14ac:dyDescent="0.3">
      <c r="L314" s="68"/>
    </row>
    <row r="315" spans="12:12" x14ac:dyDescent="0.3">
      <c r="L315" s="68"/>
    </row>
    <row r="316" spans="12:12" x14ac:dyDescent="0.3">
      <c r="L316" s="68"/>
    </row>
    <row r="317" spans="12:12" x14ac:dyDescent="0.3">
      <c r="L317" s="68"/>
    </row>
    <row r="318" spans="12:12" x14ac:dyDescent="0.3">
      <c r="L318" s="68"/>
    </row>
    <row r="319" spans="12:12" x14ac:dyDescent="0.3">
      <c r="L319" s="68"/>
    </row>
    <row r="320" spans="12:12" x14ac:dyDescent="0.3">
      <c r="L320" s="68"/>
    </row>
    <row r="321" spans="12:12" x14ac:dyDescent="0.3">
      <c r="L321" s="68"/>
    </row>
    <row r="322" spans="12:12" x14ac:dyDescent="0.3">
      <c r="L322" s="68"/>
    </row>
    <row r="323" spans="12:12" x14ac:dyDescent="0.3">
      <c r="L323" s="68"/>
    </row>
    <row r="324" spans="12:12" x14ac:dyDescent="0.3">
      <c r="L324" s="68"/>
    </row>
    <row r="325" spans="12:12" x14ac:dyDescent="0.3">
      <c r="L325" s="68"/>
    </row>
    <row r="326" spans="12:12" x14ac:dyDescent="0.3">
      <c r="L326" s="68"/>
    </row>
    <row r="327" spans="12:12" x14ac:dyDescent="0.3">
      <c r="L327" s="68"/>
    </row>
    <row r="328" spans="12:12" x14ac:dyDescent="0.3">
      <c r="L328" s="68"/>
    </row>
    <row r="329" spans="12:12" x14ac:dyDescent="0.3">
      <c r="L329" s="68"/>
    </row>
    <row r="330" spans="12:12" x14ac:dyDescent="0.3">
      <c r="L330" s="68"/>
    </row>
    <row r="331" spans="12:12" x14ac:dyDescent="0.3">
      <c r="L331" s="68"/>
    </row>
    <row r="332" spans="12:12" x14ac:dyDescent="0.3">
      <c r="L332" s="68"/>
    </row>
    <row r="333" spans="12:12" x14ac:dyDescent="0.3">
      <c r="L333" s="68"/>
    </row>
    <row r="334" spans="12:12" x14ac:dyDescent="0.3">
      <c r="L334" s="68"/>
    </row>
    <row r="335" spans="12:12" x14ac:dyDescent="0.3">
      <c r="L335" s="68"/>
    </row>
    <row r="336" spans="12:12" x14ac:dyDescent="0.3">
      <c r="L336" s="68"/>
    </row>
    <row r="337" spans="12:12" x14ac:dyDescent="0.3">
      <c r="L337" s="68"/>
    </row>
    <row r="338" spans="12:12" x14ac:dyDescent="0.3">
      <c r="L338" s="68"/>
    </row>
    <row r="339" spans="12:12" x14ac:dyDescent="0.3">
      <c r="L339" s="68"/>
    </row>
    <row r="340" spans="12:12" x14ac:dyDescent="0.3">
      <c r="L340" s="68"/>
    </row>
    <row r="341" spans="12:12" x14ac:dyDescent="0.3">
      <c r="L341" s="68"/>
    </row>
    <row r="342" spans="12:12" x14ac:dyDescent="0.3">
      <c r="L342" s="68"/>
    </row>
    <row r="343" spans="12:12" x14ac:dyDescent="0.3">
      <c r="L343" s="68"/>
    </row>
    <row r="344" spans="12:12" x14ac:dyDescent="0.3">
      <c r="L344" s="68"/>
    </row>
    <row r="345" spans="12:12" x14ac:dyDescent="0.3">
      <c r="L345" s="68"/>
    </row>
    <row r="346" spans="12:12" x14ac:dyDescent="0.3">
      <c r="L346" s="68"/>
    </row>
    <row r="347" spans="12:12" x14ac:dyDescent="0.3">
      <c r="L347" s="68"/>
    </row>
    <row r="348" spans="12:12" x14ac:dyDescent="0.3">
      <c r="L348" s="68"/>
    </row>
    <row r="349" spans="12:12" x14ac:dyDescent="0.3">
      <c r="L349" s="68"/>
    </row>
    <row r="350" spans="12:12" x14ac:dyDescent="0.3">
      <c r="L350" s="68"/>
    </row>
    <row r="351" spans="12:12" x14ac:dyDescent="0.3">
      <c r="L351" s="68"/>
    </row>
    <row r="352" spans="12:12" x14ac:dyDescent="0.3">
      <c r="L352" s="68"/>
    </row>
    <row r="353" spans="12:12" x14ac:dyDescent="0.3">
      <c r="L353" s="68"/>
    </row>
    <row r="354" spans="12:12" x14ac:dyDescent="0.3">
      <c r="L354" s="68"/>
    </row>
    <row r="355" spans="12:12" x14ac:dyDescent="0.3">
      <c r="L355" s="68"/>
    </row>
    <row r="356" spans="12:12" x14ac:dyDescent="0.3">
      <c r="L356" s="68"/>
    </row>
    <row r="357" spans="12:12" x14ac:dyDescent="0.3">
      <c r="L357" s="68"/>
    </row>
    <row r="358" spans="12:12" x14ac:dyDescent="0.3">
      <c r="L358" s="68"/>
    </row>
    <row r="359" spans="12:12" x14ac:dyDescent="0.3">
      <c r="L359" s="68"/>
    </row>
    <row r="360" spans="12:12" x14ac:dyDescent="0.3">
      <c r="L360" s="68"/>
    </row>
    <row r="361" spans="12:12" x14ac:dyDescent="0.3">
      <c r="L361" s="68"/>
    </row>
    <row r="362" spans="12:12" x14ac:dyDescent="0.3">
      <c r="L362" s="68"/>
    </row>
    <row r="363" spans="12:12" x14ac:dyDescent="0.3">
      <c r="L363" s="68"/>
    </row>
    <row r="364" spans="12:12" x14ac:dyDescent="0.3">
      <c r="L364" s="68"/>
    </row>
    <row r="365" spans="12:12" x14ac:dyDescent="0.3">
      <c r="L365" s="68"/>
    </row>
    <row r="366" spans="12:12" x14ac:dyDescent="0.3">
      <c r="L366" s="68"/>
    </row>
    <row r="367" spans="12:12" x14ac:dyDescent="0.3">
      <c r="L367" s="68"/>
    </row>
    <row r="368" spans="12:12" x14ac:dyDescent="0.3">
      <c r="L368" s="68"/>
    </row>
    <row r="369" spans="12:12" x14ac:dyDescent="0.3">
      <c r="L369" s="68"/>
    </row>
    <row r="370" spans="12:12" x14ac:dyDescent="0.3">
      <c r="L370" s="68"/>
    </row>
    <row r="371" spans="12:12" x14ac:dyDescent="0.3">
      <c r="L371" s="68"/>
    </row>
    <row r="372" spans="12:12" x14ac:dyDescent="0.3">
      <c r="L372" s="68"/>
    </row>
    <row r="373" spans="12:12" x14ac:dyDescent="0.3">
      <c r="L373" s="68"/>
    </row>
    <row r="374" spans="12:12" x14ac:dyDescent="0.3">
      <c r="L374" s="68"/>
    </row>
    <row r="375" spans="12:12" x14ac:dyDescent="0.3">
      <c r="L375" s="68"/>
    </row>
    <row r="376" spans="12:12" x14ac:dyDescent="0.3">
      <c r="L376" s="68"/>
    </row>
    <row r="377" spans="12:12" x14ac:dyDescent="0.3">
      <c r="L377" s="68"/>
    </row>
    <row r="378" spans="12:12" x14ac:dyDescent="0.3">
      <c r="L378" s="68"/>
    </row>
    <row r="379" spans="12:12" x14ac:dyDescent="0.3">
      <c r="L379" s="68"/>
    </row>
    <row r="380" spans="12:12" x14ac:dyDescent="0.3">
      <c r="L380" s="68"/>
    </row>
    <row r="381" spans="12:12" x14ac:dyDescent="0.3">
      <c r="L381" s="68"/>
    </row>
    <row r="382" spans="12:12" x14ac:dyDescent="0.3">
      <c r="L382" s="68"/>
    </row>
    <row r="383" spans="12:12" x14ac:dyDescent="0.3">
      <c r="L383" s="68"/>
    </row>
    <row r="384" spans="12:12" x14ac:dyDescent="0.3">
      <c r="L384" s="68"/>
    </row>
    <row r="385" spans="12:12" x14ac:dyDescent="0.3">
      <c r="L385" s="68"/>
    </row>
    <row r="386" spans="12:12" x14ac:dyDescent="0.3">
      <c r="L386" s="68"/>
    </row>
    <row r="387" spans="12:12" x14ac:dyDescent="0.3">
      <c r="L387" s="68"/>
    </row>
    <row r="388" spans="12:12" x14ac:dyDescent="0.3">
      <c r="L388" s="68"/>
    </row>
    <row r="389" spans="12:12" x14ac:dyDescent="0.3">
      <c r="L389" s="68"/>
    </row>
    <row r="390" spans="12:12" x14ac:dyDescent="0.3">
      <c r="L390" s="68"/>
    </row>
    <row r="391" spans="12:12" x14ac:dyDescent="0.3">
      <c r="L391" s="68"/>
    </row>
    <row r="392" spans="12:12" x14ac:dyDescent="0.3">
      <c r="L392" s="68"/>
    </row>
    <row r="393" spans="12:12" x14ac:dyDescent="0.3">
      <c r="L393" s="68"/>
    </row>
    <row r="394" spans="12:12" x14ac:dyDescent="0.3">
      <c r="L394" s="68"/>
    </row>
    <row r="395" spans="12:12" x14ac:dyDescent="0.3">
      <c r="L395" s="68"/>
    </row>
    <row r="396" spans="12:12" x14ac:dyDescent="0.3">
      <c r="L396" s="68"/>
    </row>
    <row r="397" spans="12:12" x14ac:dyDescent="0.3">
      <c r="L397" s="68"/>
    </row>
    <row r="398" spans="12:12" x14ac:dyDescent="0.3">
      <c r="L398" s="68"/>
    </row>
    <row r="399" spans="12:12" x14ac:dyDescent="0.3">
      <c r="L399" s="68"/>
    </row>
    <row r="400" spans="12:12" x14ac:dyDescent="0.3">
      <c r="L400" s="68"/>
    </row>
    <row r="401" spans="12:12" x14ac:dyDescent="0.3">
      <c r="L401" s="68"/>
    </row>
    <row r="402" spans="12:12" x14ac:dyDescent="0.3">
      <c r="L402" s="68"/>
    </row>
    <row r="403" spans="12:12" x14ac:dyDescent="0.3">
      <c r="L403" s="68"/>
    </row>
    <row r="404" spans="12:12" x14ac:dyDescent="0.3">
      <c r="L404" s="68"/>
    </row>
    <row r="405" spans="12:12" x14ac:dyDescent="0.3">
      <c r="L405" s="68"/>
    </row>
    <row r="406" spans="12:12" x14ac:dyDescent="0.3">
      <c r="L406" s="68"/>
    </row>
    <row r="407" spans="12:12" x14ac:dyDescent="0.3">
      <c r="L407" s="68"/>
    </row>
    <row r="408" spans="12:12" x14ac:dyDescent="0.3">
      <c r="L408" s="68"/>
    </row>
    <row r="409" spans="12:12" x14ac:dyDescent="0.3">
      <c r="L409" s="68"/>
    </row>
    <row r="410" spans="12:12" x14ac:dyDescent="0.3">
      <c r="L410" s="68"/>
    </row>
    <row r="411" spans="12:12" x14ac:dyDescent="0.3">
      <c r="L411" s="68"/>
    </row>
    <row r="412" spans="12:12" x14ac:dyDescent="0.3">
      <c r="L412" s="68"/>
    </row>
    <row r="413" spans="12:12" x14ac:dyDescent="0.3">
      <c r="L413" s="68"/>
    </row>
    <row r="414" spans="12:12" x14ac:dyDescent="0.3">
      <c r="L414" s="68"/>
    </row>
    <row r="415" spans="12:12" x14ac:dyDescent="0.3">
      <c r="L415" s="68"/>
    </row>
    <row r="416" spans="12:12" x14ac:dyDescent="0.3">
      <c r="L416" s="68"/>
    </row>
    <row r="417" spans="12:12" x14ac:dyDescent="0.3">
      <c r="L417" s="68"/>
    </row>
    <row r="418" spans="12:12" x14ac:dyDescent="0.3">
      <c r="L418" s="68"/>
    </row>
    <row r="419" spans="12:12" x14ac:dyDescent="0.3">
      <c r="L419" s="68"/>
    </row>
    <row r="420" spans="12:12" x14ac:dyDescent="0.3">
      <c r="L420" s="68"/>
    </row>
    <row r="421" spans="12:12" x14ac:dyDescent="0.3">
      <c r="L421" s="68"/>
    </row>
    <row r="422" spans="12:12" x14ac:dyDescent="0.3">
      <c r="L422" s="68"/>
    </row>
    <row r="423" spans="12:12" x14ac:dyDescent="0.3">
      <c r="L423" s="68"/>
    </row>
    <row r="424" spans="12:12" x14ac:dyDescent="0.3">
      <c r="L424" s="68"/>
    </row>
    <row r="425" spans="12:12" x14ac:dyDescent="0.3">
      <c r="L425" s="68"/>
    </row>
    <row r="426" spans="12:12" x14ac:dyDescent="0.3">
      <c r="L426" s="68"/>
    </row>
    <row r="427" spans="12:12" x14ac:dyDescent="0.3">
      <c r="L427" s="68"/>
    </row>
    <row r="428" spans="12:12" x14ac:dyDescent="0.3">
      <c r="L428" s="68"/>
    </row>
    <row r="429" spans="12:12" x14ac:dyDescent="0.3">
      <c r="L429" s="68"/>
    </row>
    <row r="430" spans="12:12" x14ac:dyDescent="0.3">
      <c r="L430" s="68"/>
    </row>
    <row r="431" spans="12:12" x14ac:dyDescent="0.3">
      <c r="L431" s="68"/>
    </row>
    <row r="432" spans="12:12" x14ac:dyDescent="0.3">
      <c r="L432" s="68"/>
    </row>
    <row r="433" spans="12:12" x14ac:dyDescent="0.3">
      <c r="L433" s="68"/>
    </row>
    <row r="434" spans="12:12" x14ac:dyDescent="0.3">
      <c r="L434" s="68"/>
    </row>
    <row r="435" spans="12:12" x14ac:dyDescent="0.3">
      <c r="L435" s="68"/>
    </row>
    <row r="436" spans="12:12" x14ac:dyDescent="0.3">
      <c r="L436" s="68"/>
    </row>
    <row r="437" spans="12:12" x14ac:dyDescent="0.3">
      <c r="L437" s="68"/>
    </row>
    <row r="438" spans="12:12" x14ac:dyDescent="0.3">
      <c r="L438" s="68"/>
    </row>
    <row r="439" spans="12:12" x14ac:dyDescent="0.3">
      <c r="L439" s="68"/>
    </row>
    <row r="440" spans="12:12" x14ac:dyDescent="0.3">
      <c r="L440" s="68"/>
    </row>
    <row r="441" spans="12:12" x14ac:dyDescent="0.3">
      <c r="L441" s="68"/>
    </row>
    <row r="442" spans="12:12" x14ac:dyDescent="0.3">
      <c r="L442" s="68"/>
    </row>
    <row r="443" spans="12:12" x14ac:dyDescent="0.3">
      <c r="L443" s="68"/>
    </row>
    <row r="444" spans="12:12" x14ac:dyDescent="0.3">
      <c r="L444" s="68"/>
    </row>
    <row r="445" spans="12:12" x14ac:dyDescent="0.3">
      <c r="L445" s="68"/>
    </row>
    <row r="446" spans="12:12" x14ac:dyDescent="0.3">
      <c r="L446" s="68"/>
    </row>
    <row r="447" spans="12:12" x14ac:dyDescent="0.3">
      <c r="L447" s="68"/>
    </row>
    <row r="448" spans="12:12" x14ac:dyDescent="0.3">
      <c r="L448" s="68"/>
    </row>
    <row r="449" spans="12:12" x14ac:dyDescent="0.3">
      <c r="L449" s="68"/>
    </row>
    <row r="450" spans="12:12" x14ac:dyDescent="0.3">
      <c r="L450" s="68"/>
    </row>
    <row r="451" spans="12:12" x14ac:dyDescent="0.3">
      <c r="L451" s="68"/>
    </row>
    <row r="452" spans="12:12" x14ac:dyDescent="0.3">
      <c r="L452" s="68"/>
    </row>
    <row r="453" spans="12:12" x14ac:dyDescent="0.3">
      <c r="L453" s="68"/>
    </row>
    <row r="454" spans="12:12" x14ac:dyDescent="0.3">
      <c r="L454" s="68"/>
    </row>
    <row r="455" spans="12:12" x14ac:dyDescent="0.3">
      <c r="L455" s="68"/>
    </row>
    <row r="456" spans="12:12" x14ac:dyDescent="0.3">
      <c r="L456" s="68"/>
    </row>
    <row r="457" spans="12:12" x14ac:dyDescent="0.3">
      <c r="L457" s="68"/>
    </row>
    <row r="458" spans="12:12" x14ac:dyDescent="0.3">
      <c r="L458" s="68"/>
    </row>
    <row r="459" spans="12:12" x14ac:dyDescent="0.3">
      <c r="L459" s="68"/>
    </row>
    <row r="460" spans="12:12" x14ac:dyDescent="0.3">
      <c r="L460" s="68"/>
    </row>
    <row r="461" spans="12:12" x14ac:dyDescent="0.3">
      <c r="L461" s="68"/>
    </row>
    <row r="462" spans="12:12" x14ac:dyDescent="0.3">
      <c r="L462" s="68"/>
    </row>
    <row r="463" spans="12:12" x14ac:dyDescent="0.3">
      <c r="L463" s="68"/>
    </row>
    <row r="464" spans="12:12" x14ac:dyDescent="0.3">
      <c r="L464" s="68"/>
    </row>
    <row r="465" spans="12:12" x14ac:dyDescent="0.3">
      <c r="L465" s="68"/>
    </row>
    <row r="466" spans="12:12" x14ac:dyDescent="0.3">
      <c r="L466" s="68"/>
    </row>
    <row r="467" spans="12:12" x14ac:dyDescent="0.3">
      <c r="L467" s="68"/>
    </row>
    <row r="468" spans="12:12" x14ac:dyDescent="0.3">
      <c r="L468" s="68"/>
    </row>
    <row r="469" spans="12:12" x14ac:dyDescent="0.3">
      <c r="L469" s="68"/>
    </row>
    <row r="470" spans="12:12" x14ac:dyDescent="0.3">
      <c r="L470" s="68"/>
    </row>
    <row r="471" spans="12:12" x14ac:dyDescent="0.3">
      <c r="L471" s="68"/>
    </row>
    <row r="472" spans="12:12" x14ac:dyDescent="0.3">
      <c r="L472" s="68"/>
    </row>
    <row r="473" spans="12:12" x14ac:dyDescent="0.3">
      <c r="L473" s="68"/>
    </row>
    <row r="474" spans="12:12" x14ac:dyDescent="0.3">
      <c r="L474" s="68"/>
    </row>
    <row r="475" spans="12:12" x14ac:dyDescent="0.3">
      <c r="L475" s="68"/>
    </row>
    <row r="476" spans="12:12" x14ac:dyDescent="0.3">
      <c r="L476" s="68"/>
    </row>
    <row r="477" spans="12:12" x14ac:dyDescent="0.3">
      <c r="L477" s="68"/>
    </row>
    <row r="478" spans="12:12" x14ac:dyDescent="0.3">
      <c r="L478" s="68"/>
    </row>
    <row r="479" spans="12:12" x14ac:dyDescent="0.3">
      <c r="L479" s="68"/>
    </row>
    <row r="480" spans="12:12" x14ac:dyDescent="0.3">
      <c r="L480" s="68"/>
    </row>
    <row r="481" spans="12:12" x14ac:dyDescent="0.3">
      <c r="L481" s="68"/>
    </row>
    <row r="482" spans="12:12" x14ac:dyDescent="0.3">
      <c r="L482" s="68"/>
    </row>
    <row r="483" spans="12:12" x14ac:dyDescent="0.3">
      <c r="L483" s="68"/>
    </row>
    <row r="484" spans="12:12" x14ac:dyDescent="0.3">
      <c r="L484" s="68"/>
    </row>
    <row r="485" spans="12:12" x14ac:dyDescent="0.3">
      <c r="L485" s="68"/>
    </row>
    <row r="486" spans="12:12" x14ac:dyDescent="0.3">
      <c r="L486" s="68"/>
    </row>
    <row r="487" spans="12:12" x14ac:dyDescent="0.3">
      <c r="L487" s="68"/>
    </row>
    <row r="488" spans="12:12" x14ac:dyDescent="0.3">
      <c r="L488" s="68"/>
    </row>
    <row r="489" spans="12:12" x14ac:dyDescent="0.3">
      <c r="L489" s="68"/>
    </row>
    <row r="490" spans="12:12" x14ac:dyDescent="0.3">
      <c r="L490" s="68"/>
    </row>
    <row r="491" spans="12:12" x14ac:dyDescent="0.3">
      <c r="L491" s="68"/>
    </row>
    <row r="492" spans="12:12" x14ac:dyDescent="0.3">
      <c r="L492" s="68"/>
    </row>
    <row r="493" spans="12:12" x14ac:dyDescent="0.3">
      <c r="L493" s="68"/>
    </row>
    <row r="494" spans="12:12" x14ac:dyDescent="0.3">
      <c r="L494" s="68"/>
    </row>
    <row r="495" spans="12:12" x14ac:dyDescent="0.3">
      <c r="L495" s="68"/>
    </row>
    <row r="496" spans="12:12" x14ac:dyDescent="0.3">
      <c r="L496" s="68"/>
    </row>
    <row r="497" spans="12:12" x14ac:dyDescent="0.3">
      <c r="L497" s="68"/>
    </row>
    <row r="498" spans="12:12" x14ac:dyDescent="0.3">
      <c r="L498" s="68"/>
    </row>
    <row r="499" spans="12:12" x14ac:dyDescent="0.3">
      <c r="L499" s="68"/>
    </row>
    <row r="500" spans="12:12" x14ac:dyDescent="0.3">
      <c r="L500" s="68"/>
    </row>
    <row r="501" spans="12:12" x14ac:dyDescent="0.3">
      <c r="L501" s="68"/>
    </row>
    <row r="502" spans="12:12" x14ac:dyDescent="0.3">
      <c r="L502" s="68"/>
    </row>
    <row r="503" spans="12:12" x14ac:dyDescent="0.3">
      <c r="L503" s="68"/>
    </row>
    <row r="504" spans="12:12" x14ac:dyDescent="0.3">
      <c r="L504" s="68"/>
    </row>
    <row r="505" spans="12:12" x14ac:dyDescent="0.3">
      <c r="L505" s="68"/>
    </row>
    <row r="506" spans="12:12" x14ac:dyDescent="0.3">
      <c r="L506" s="68"/>
    </row>
    <row r="507" spans="12:12" x14ac:dyDescent="0.3">
      <c r="L507" s="68"/>
    </row>
    <row r="508" spans="12:12" x14ac:dyDescent="0.3">
      <c r="L508" s="68"/>
    </row>
    <row r="509" spans="12:12" x14ac:dyDescent="0.3">
      <c r="L509" s="68"/>
    </row>
    <row r="510" spans="12:12" x14ac:dyDescent="0.3">
      <c r="L510" s="68"/>
    </row>
    <row r="511" spans="12:12" x14ac:dyDescent="0.3">
      <c r="L511" s="68"/>
    </row>
    <row r="512" spans="12:12" x14ac:dyDescent="0.3">
      <c r="L512" s="68"/>
    </row>
    <row r="513" spans="12:12" x14ac:dyDescent="0.3">
      <c r="L513" s="68"/>
    </row>
    <row r="514" spans="12:12" x14ac:dyDescent="0.3">
      <c r="L514" s="68"/>
    </row>
    <row r="515" spans="12:12" x14ac:dyDescent="0.3">
      <c r="L515" s="68"/>
    </row>
    <row r="516" spans="12:12" x14ac:dyDescent="0.3">
      <c r="L516" s="68"/>
    </row>
    <row r="517" spans="12:12" x14ac:dyDescent="0.3">
      <c r="L517" s="68"/>
    </row>
    <row r="518" spans="12:12" x14ac:dyDescent="0.3">
      <c r="L518" s="68"/>
    </row>
    <row r="519" spans="12:12" x14ac:dyDescent="0.3">
      <c r="L519" s="68"/>
    </row>
    <row r="520" spans="12:12" x14ac:dyDescent="0.3">
      <c r="L520" s="68"/>
    </row>
    <row r="521" spans="12:12" x14ac:dyDescent="0.3">
      <c r="L521" s="68"/>
    </row>
    <row r="522" spans="12:12" x14ac:dyDescent="0.3">
      <c r="L522" s="68"/>
    </row>
    <row r="523" spans="12:12" x14ac:dyDescent="0.3">
      <c r="L523" s="68"/>
    </row>
    <row r="524" spans="12:12" x14ac:dyDescent="0.3">
      <c r="L524" s="68"/>
    </row>
    <row r="525" spans="12:12" x14ac:dyDescent="0.3">
      <c r="L525" s="68"/>
    </row>
    <row r="526" spans="12:12" x14ac:dyDescent="0.3">
      <c r="L526" s="68"/>
    </row>
    <row r="527" spans="12:12" x14ac:dyDescent="0.3">
      <c r="L527" s="68"/>
    </row>
    <row r="528" spans="12:12" x14ac:dyDescent="0.3">
      <c r="L528" s="68"/>
    </row>
    <row r="529" spans="12:12" x14ac:dyDescent="0.3">
      <c r="L529" s="68"/>
    </row>
    <row r="530" spans="12:12" x14ac:dyDescent="0.3">
      <c r="L530" s="68"/>
    </row>
    <row r="531" spans="12:12" x14ac:dyDescent="0.3">
      <c r="L531" s="68"/>
    </row>
    <row r="532" spans="12:12" x14ac:dyDescent="0.3">
      <c r="L532" s="68"/>
    </row>
    <row r="533" spans="12:12" x14ac:dyDescent="0.3">
      <c r="L533" s="68"/>
    </row>
    <row r="534" spans="12:12" x14ac:dyDescent="0.3">
      <c r="L534" s="68"/>
    </row>
    <row r="535" spans="12:12" x14ac:dyDescent="0.3">
      <c r="L535" s="68"/>
    </row>
    <row r="536" spans="12:12" x14ac:dyDescent="0.3">
      <c r="L536" s="68"/>
    </row>
    <row r="537" spans="12:12" x14ac:dyDescent="0.3">
      <c r="L537" s="68"/>
    </row>
    <row r="538" spans="12:12" x14ac:dyDescent="0.3">
      <c r="L538" s="68"/>
    </row>
    <row r="539" spans="12:12" x14ac:dyDescent="0.3">
      <c r="L539" s="68"/>
    </row>
    <row r="540" spans="12:12" x14ac:dyDescent="0.3">
      <c r="L540" s="68"/>
    </row>
    <row r="541" spans="12:12" x14ac:dyDescent="0.3">
      <c r="L541" s="68"/>
    </row>
    <row r="542" spans="12:12" x14ac:dyDescent="0.3">
      <c r="L542" s="68"/>
    </row>
    <row r="543" spans="12:12" x14ac:dyDescent="0.3">
      <c r="L543" s="68"/>
    </row>
    <row r="544" spans="12:12" x14ac:dyDescent="0.3">
      <c r="L544" s="68"/>
    </row>
    <row r="545" spans="12:12" x14ac:dyDescent="0.3">
      <c r="L545" s="68"/>
    </row>
    <row r="546" spans="12:12" x14ac:dyDescent="0.3">
      <c r="L546" s="68"/>
    </row>
    <row r="547" spans="12:12" x14ac:dyDescent="0.3">
      <c r="L547" s="68"/>
    </row>
    <row r="548" spans="12:12" x14ac:dyDescent="0.3">
      <c r="L548" s="68"/>
    </row>
    <row r="549" spans="12:12" x14ac:dyDescent="0.3">
      <c r="L549" s="68"/>
    </row>
    <row r="550" spans="12:12" x14ac:dyDescent="0.3">
      <c r="L550" s="68"/>
    </row>
    <row r="551" spans="12:12" x14ac:dyDescent="0.3">
      <c r="L551" s="68"/>
    </row>
    <row r="552" spans="12:12" x14ac:dyDescent="0.3">
      <c r="L552" s="68"/>
    </row>
    <row r="553" spans="12:12" x14ac:dyDescent="0.3">
      <c r="L553" s="68"/>
    </row>
    <row r="554" spans="12:12" x14ac:dyDescent="0.3">
      <c r="L554" s="68"/>
    </row>
    <row r="555" spans="12:12" x14ac:dyDescent="0.3">
      <c r="L555" s="68"/>
    </row>
    <row r="556" spans="12:12" x14ac:dyDescent="0.3">
      <c r="L556" s="68"/>
    </row>
    <row r="557" spans="12:12" x14ac:dyDescent="0.3">
      <c r="L557" s="68"/>
    </row>
    <row r="558" spans="12:12" x14ac:dyDescent="0.3">
      <c r="L558" s="68"/>
    </row>
    <row r="559" spans="12:12" x14ac:dyDescent="0.3">
      <c r="L559" s="68"/>
    </row>
    <row r="560" spans="12:12" x14ac:dyDescent="0.3">
      <c r="L560" s="68"/>
    </row>
    <row r="561" spans="12:12" x14ac:dyDescent="0.3">
      <c r="L561" s="68"/>
    </row>
    <row r="562" spans="12:12" x14ac:dyDescent="0.3">
      <c r="L562" s="68"/>
    </row>
    <row r="563" spans="12:12" x14ac:dyDescent="0.3">
      <c r="L563" s="68"/>
    </row>
    <row r="564" spans="12:12" x14ac:dyDescent="0.3">
      <c r="L564" s="68"/>
    </row>
    <row r="565" spans="12:12" x14ac:dyDescent="0.3">
      <c r="L565" s="68"/>
    </row>
    <row r="566" spans="12:12" x14ac:dyDescent="0.3">
      <c r="L566" s="68"/>
    </row>
    <row r="567" spans="12:12" x14ac:dyDescent="0.3">
      <c r="L567" s="68"/>
    </row>
    <row r="568" spans="12:12" x14ac:dyDescent="0.3">
      <c r="L568" s="68"/>
    </row>
    <row r="569" spans="12:12" x14ac:dyDescent="0.3">
      <c r="L569" s="68"/>
    </row>
    <row r="570" spans="12:12" x14ac:dyDescent="0.3">
      <c r="L570" s="68"/>
    </row>
    <row r="571" spans="12:12" x14ac:dyDescent="0.3">
      <c r="L571" s="68"/>
    </row>
    <row r="572" spans="12:12" x14ac:dyDescent="0.3">
      <c r="L572" s="68"/>
    </row>
    <row r="573" spans="12:12" x14ac:dyDescent="0.3">
      <c r="L573" s="68"/>
    </row>
    <row r="574" spans="12:12" x14ac:dyDescent="0.3">
      <c r="L574" s="68"/>
    </row>
    <row r="575" spans="12:12" x14ac:dyDescent="0.3">
      <c r="L575" s="68"/>
    </row>
    <row r="576" spans="12:12" x14ac:dyDescent="0.3">
      <c r="L576" s="68"/>
    </row>
    <row r="577" spans="12:12" x14ac:dyDescent="0.3">
      <c r="L577" s="68"/>
    </row>
    <row r="578" spans="12:12" x14ac:dyDescent="0.3">
      <c r="L578" s="68"/>
    </row>
    <row r="579" spans="12:12" x14ac:dyDescent="0.3">
      <c r="L579" s="68"/>
    </row>
    <row r="580" spans="12:12" x14ac:dyDescent="0.3">
      <c r="L580" s="68"/>
    </row>
    <row r="581" spans="12:12" x14ac:dyDescent="0.3">
      <c r="L581" s="68"/>
    </row>
    <row r="582" spans="12:12" x14ac:dyDescent="0.3">
      <c r="L582" s="68"/>
    </row>
    <row r="583" spans="12:12" x14ac:dyDescent="0.3">
      <c r="L583" s="68"/>
    </row>
    <row r="584" spans="12:12" x14ac:dyDescent="0.3">
      <c r="L584" s="68"/>
    </row>
    <row r="585" spans="12:12" x14ac:dyDescent="0.3">
      <c r="L585" s="68"/>
    </row>
    <row r="586" spans="12:12" x14ac:dyDescent="0.3">
      <c r="L586" s="68"/>
    </row>
    <row r="587" spans="12:12" x14ac:dyDescent="0.3">
      <c r="L587" s="68"/>
    </row>
    <row r="588" spans="12:12" x14ac:dyDescent="0.3">
      <c r="L588" s="68"/>
    </row>
    <row r="589" spans="12:12" x14ac:dyDescent="0.3">
      <c r="L589" s="68"/>
    </row>
    <row r="590" spans="12:12" x14ac:dyDescent="0.3">
      <c r="L590" s="68"/>
    </row>
    <row r="591" spans="12:12" x14ac:dyDescent="0.3">
      <c r="L591" s="68"/>
    </row>
    <row r="592" spans="12:12" x14ac:dyDescent="0.3">
      <c r="L592" s="68"/>
    </row>
    <row r="593" spans="12:12" x14ac:dyDescent="0.3">
      <c r="L593" s="68"/>
    </row>
    <row r="594" spans="12:12" x14ac:dyDescent="0.3">
      <c r="L594" s="68"/>
    </row>
    <row r="595" spans="12:12" x14ac:dyDescent="0.3">
      <c r="L595" s="68"/>
    </row>
    <row r="596" spans="12:12" x14ac:dyDescent="0.3">
      <c r="L596" s="68"/>
    </row>
    <row r="597" spans="12:12" x14ac:dyDescent="0.3">
      <c r="L597" s="68"/>
    </row>
    <row r="598" spans="12:12" x14ac:dyDescent="0.3">
      <c r="L598" s="68"/>
    </row>
    <row r="599" spans="12:12" x14ac:dyDescent="0.3">
      <c r="L599" s="68"/>
    </row>
    <row r="600" spans="12:12" x14ac:dyDescent="0.3">
      <c r="L600" s="68"/>
    </row>
    <row r="601" spans="12:12" x14ac:dyDescent="0.3">
      <c r="L601" s="68"/>
    </row>
    <row r="602" spans="12:12" x14ac:dyDescent="0.3">
      <c r="L602" s="68"/>
    </row>
    <row r="603" spans="12:12" x14ac:dyDescent="0.3">
      <c r="L603" s="68"/>
    </row>
    <row r="604" spans="12:12" x14ac:dyDescent="0.3">
      <c r="L604" s="68"/>
    </row>
    <row r="605" spans="12:12" x14ac:dyDescent="0.3">
      <c r="L605" s="68"/>
    </row>
    <row r="606" spans="12:12" x14ac:dyDescent="0.3">
      <c r="L606" s="68"/>
    </row>
    <row r="607" spans="12:12" x14ac:dyDescent="0.3">
      <c r="L607" s="68"/>
    </row>
    <row r="608" spans="12:12" x14ac:dyDescent="0.3">
      <c r="L608" s="68"/>
    </row>
    <row r="609" spans="12:12" x14ac:dyDescent="0.3">
      <c r="L609" s="68"/>
    </row>
    <row r="610" spans="12:12" x14ac:dyDescent="0.3">
      <c r="L610" s="68"/>
    </row>
    <row r="611" spans="12:12" x14ac:dyDescent="0.3">
      <c r="L611" s="68"/>
    </row>
    <row r="612" spans="12:12" x14ac:dyDescent="0.3">
      <c r="L612" s="68"/>
    </row>
    <row r="613" spans="12:12" x14ac:dyDescent="0.3">
      <c r="L613" s="68"/>
    </row>
    <row r="614" spans="12:12" x14ac:dyDescent="0.3">
      <c r="L614" s="68"/>
    </row>
    <row r="615" spans="12:12" x14ac:dyDescent="0.3">
      <c r="L615" s="68"/>
    </row>
    <row r="616" spans="12:12" x14ac:dyDescent="0.3">
      <c r="L616" s="68"/>
    </row>
    <row r="617" spans="12:12" x14ac:dyDescent="0.3">
      <c r="L617" s="68"/>
    </row>
    <row r="618" spans="12:12" x14ac:dyDescent="0.3">
      <c r="L618" s="68"/>
    </row>
    <row r="619" spans="12:12" x14ac:dyDescent="0.3">
      <c r="L619" s="68"/>
    </row>
    <row r="620" spans="12:12" x14ac:dyDescent="0.3">
      <c r="L620" s="68"/>
    </row>
    <row r="621" spans="12:12" x14ac:dyDescent="0.3">
      <c r="L621" s="68"/>
    </row>
    <row r="622" spans="12:12" x14ac:dyDescent="0.3">
      <c r="L622" s="68"/>
    </row>
    <row r="623" spans="12:12" x14ac:dyDescent="0.3">
      <c r="L623" s="68"/>
    </row>
    <row r="624" spans="12:12" x14ac:dyDescent="0.3">
      <c r="L624" s="68"/>
    </row>
    <row r="625" spans="12:12" x14ac:dyDescent="0.3">
      <c r="L625" s="68"/>
    </row>
    <row r="626" spans="12:12" x14ac:dyDescent="0.3">
      <c r="L626" s="68"/>
    </row>
    <row r="627" spans="12:12" x14ac:dyDescent="0.3">
      <c r="L627" s="68"/>
    </row>
    <row r="628" spans="12:12" x14ac:dyDescent="0.3">
      <c r="L628" s="68"/>
    </row>
    <row r="629" spans="12:12" x14ac:dyDescent="0.3">
      <c r="L629" s="68"/>
    </row>
    <row r="630" spans="12:12" x14ac:dyDescent="0.3">
      <c r="L630" s="68"/>
    </row>
    <row r="631" spans="12:12" x14ac:dyDescent="0.3">
      <c r="L631" s="68"/>
    </row>
    <row r="632" spans="12:12" x14ac:dyDescent="0.3">
      <c r="L632" s="68"/>
    </row>
    <row r="633" spans="12:12" x14ac:dyDescent="0.3">
      <c r="L633" s="68"/>
    </row>
    <row r="634" spans="12:12" x14ac:dyDescent="0.3">
      <c r="L634" s="68"/>
    </row>
    <row r="635" spans="12:12" x14ac:dyDescent="0.3">
      <c r="L635" s="68"/>
    </row>
    <row r="636" spans="12:12" x14ac:dyDescent="0.3">
      <c r="L636" s="68"/>
    </row>
    <row r="637" spans="12:12" x14ac:dyDescent="0.3">
      <c r="L637" s="68"/>
    </row>
    <row r="638" spans="12:12" x14ac:dyDescent="0.3">
      <c r="L638" s="68"/>
    </row>
    <row r="639" spans="12:12" x14ac:dyDescent="0.3">
      <c r="L639" s="68"/>
    </row>
    <row r="640" spans="12:12" x14ac:dyDescent="0.3">
      <c r="L640" s="68"/>
    </row>
    <row r="641" spans="12:12" x14ac:dyDescent="0.3">
      <c r="L641" s="68"/>
    </row>
    <row r="642" spans="12:12" x14ac:dyDescent="0.3">
      <c r="L642" s="68"/>
    </row>
    <row r="643" spans="12:12" x14ac:dyDescent="0.3">
      <c r="L643" s="68"/>
    </row>
    <row r="644" spans="12:12" x14ac:dyDescent="0.3">
      <c r="L644" s="68"/>
    </row>
    <row r="645" spans="12:12" x14ac:dyDescent="0.3">
      <c r="L645" s="68"/>
    </row>
    <row r="646" spans="12:12" x14ac:dyDescent="0.3">
      <c r="L646" s="68"/>
    </row>
    <row r="647" spans="12:12" x14ac:dyDescent="0.3">
      <c r="L647" s="68"/>
    </row>
    <row r="648" spans="12:12" x14ac:dyDescent="0.3">
      <c r="L648" s="68"/>
    </row>
    <row r="649" spans="12:12" x14ac:dyDescent="0.3">
      <c r="L649" s="68"/>
    </row>
    <row r="650" spans="12:12" x14ac:dyDescent="0.3">
      <c r="L650" s="68"/>
    </row>
    <row r="651" spans="12:12" x14ac:dyDescent="0.3">
      <c r="L651" s="68"/>
    </row>
    <row r="652" spans="12:12" x14ac:dyDescent="0.3">
      <c r="L652" s="68"/>
    </row>
    <row r="653" spans="12:12" x14ac:dyDescent="0.3">
      <c r="L653" s="68"/>
    </row>
    <row r="654" spans="12:12" x14ac:dyDescent="0.3">
      <c r="L654" s="68"/>
    </row>
    <row r="655" spans="12:12" x14ac:dyDescent="0.3">
      <c r="L655" s="68"/>
    </row>
    <row r="656" spans="12:12" x14ac:dyDescent="0.3">
      <c r="L656" s="68"/>
    </row>
    <row r="657" spans="12:12" x14ac:dyDescent="0.3">
      <c r="L657" s="68"/>
    </row>
    <row r="658" spans="12:12" x14ac:dyDescent="0.3">
      <c r="L658" s="68"/>
    </row>
    <row r="659" spans="12:12" x14ac:dyDescent="0.3">
      <c r="L659" s="68"/>
    </row>
    <row r="660" spans="12:12" x14ac:dyDescent="0.3">
      <c r="L660" s="68"/>
    </row>
    <row r="661" spans="12:12" x14ac:dyDescent="0.3">
      <c r="L661" s="68"/>
    </row>
    <row r="662" spans="12:12" x14ac:dyDescent="0.3">
      <c r="L662" s="68"/>
    </row>
    <row r="663" spans="12:12" x14ac:dyDescent="0.3">
      <c r="L663" s="68"/>
    </row>
    <row r="664" spans="12:12" x14ac:dyDescent="0.3">
      <c r="L664" s="68"/>
    </row>
    <row r="665" spans="12:12" x14ac:dyDescent="0.3">
      <c r="L665" s="68"/>
    </row>
    <row r="666" spans="12:12" x14ac:dyDescent="0.3">
      <c r="L666" s="68"/>
    </row>
    <row r="667" spans="12:12" x14ac:dyDescent="0.3">
      <c r="L667" s="68"/>
    </row>
    <row r="668" spans="12:12" x14ac:dyDescent="0.3">
      <c r="L668" s="68"/>
    </row>
    <row r="669" spans="12:12" x14ac:dyDescent="0.3">
      <c r="L669" s="68"/>
    </row>
    <row r="670" spans="12:12" x14ac:dyDescent="0.3">
      <c r="L670" s="68"/>
    </row>
    <row r="671" spans="12:12" x14ac:dyDescent="0.3">
      <c r="L671" s="68"/>
    </row>
    <row r="672" spans="12:12" x14ac:dyDescent="0.3">
      <c r="L672" s="68"/>
    </row>
    <row r="673" spans="12:12" x14ac:dyDescent="0.3">
      <c r="L673" s="68"/>
    </row>
    <row r="674" spans="12:12" x14ac:dyDescent="0.3">
      <c r="L674" s="68"/>
    </row>
    <row r="675" spans="12:12" x14ac:dyDescent="0.3">
      <c r="L675" s="68"/>
    </row>
    <row r="676" spans="12:12" x14ac:dyDescent="0.3">
      <c r="L676" s="68"/>
    </row>
    <row r="677" spans="12:12" x14ac:dyDescent="0.3">
      <c r="L677" s="68"/>
    </row>
    <row r="678" spans="12:12" x14ac:dyDescent="0.3">
      <c r="L678" s="68"/>
    </row>
    <row r="679" spans="12:12" x14ac:dyDescent="0.3">
      <c r="L679" s="68"/>
    </row>
    <row r="680" spans="12:12" x14ac:dyDescent="0.3">
      <c r="L680" s="68"/>
    </row>
    <row r="681" spans="12:12" x14ac:dyDescent="0.3">
      <c r="L681" s="68"/>
    </row>
    <row r="682" spans="12:12" x14ac:dyDescent="0.3">
      <c r="L682" s="68"/>
    </row>
    <row r="683" spans="12:12" x14ac:dyDescent="0.3">
      <c r="L683" s="68"/>
    </row>
    <row r="684" spans="12:12" x14ac:dyDescent="0.3">
      <c r="L684" s="68"/>
    </row>
    <row r="685" spans="12:12" x14ac:dyDescent="0.3">
      <c r="L685" s="68"/>
    </row>
    <row r="686" spans="12:12" x14ac:dyDescent="0.3">
      <c r="L686" s="68"/>
    </row>
    <row r="687" spans="12:12" x14ac:dyDescent="0.3">
      <c r="L687" s="68"/>
    </row>
    <row r="688" spans="12:12" x14ac:dyDescent="0.3">
      <c r="L688" s="68"/>
    </row>
    <row r="689" spans="12:12" x14ac:dyDescent="0.3">
      <c r="L689" s="68"/>
    </row>
    <row r="690" spans="12:12" x14ac:dyDescent="0.3">
      <c r="L690" s="68"/>
    </row>
    <row r="691" spans="12:12" x14ac:dyDescent="0.3">
      <c r="L691" s="68"/>
    </row>
    <row r="692" spans="12:12" x14ac:dyDescent="0.3">
      <c r="L692" s="68"/>
    </row>
    <row r="693" spans="12:12" x14ac:dyDescent="0.3">
      <c r="L693" s="68"/>
    </row>
    <row r="694" spans="12:12" x14ac:dyDescent="0.3">
      <c r="L694" s="68"/>
    </row>
    <row r="695" spans="12:12" x14ac:dyDescent="0.3">
      <c r="L695" s="68"/>
    </row>
    <row r="696" spans="12:12" x14ac:dyDescent="0.3">
      <c r="L696" s="68"/>
    </row>
    <row r="697" spans="12:12" x14ac:dyDescent="0.3">
      <c r="L697" s="68"/>
    </row>
    <row r="698" spans="12:12" x14ac:dyDescent="0.3">
      <c r="L698" s="68"/>
    </row>
    <row r="699" spans="12:12" x14ac:dyDescent="0.3">
      <c r="L699" s="68"/>
    </row>
    <row r="700" spans="12:12" x14ac:dyDescent="0.3">
      <c r="L700" s="68"/>
    </row>
    <row r="701" spans="12:12" x14ac:dyDescent="0.3">
      <c r="L701" s="68"/>
    </row>
    <row r="702" spans="12:12" x14ac:dyDescent="0.3">
      <c r="L702" s="68"/>
    </row>
    <row r="703" spans="12:12" x14ac:dyDescent="0.3">
      <c r="L703" s="68"/>
    </row>
    <row r="704" spans="12:12" x14ac:dyDescent="0.3">
      <c r="L704" s="68"/>
    </row>
    <row r="705" spans="12:12" x14ac:dyDescent="0.3">
      <c r="L705" s="68"/>
    </row>
    <row r="706" spans="12:12" x14ac:dyDescent="0.3">
      <c r="L706" s="68"/>
    </row>
    <row r="707" spans="12:12" x14ac:dyDescent="0.3">
      <c r="L707" s="68"/>
    </row>
    <row r="708" spans="12:12" x14ac:dyDescent="0.3">
      <c r="L708" s="68"/>
    </row>
    <row r="709" spans="12:12" x14ac:dyDescent="0.3">
      <c r="L709" s="68"/>
    </row>
    <row r="710" spans="12:12" x14ac:dyDescent="0.3">
      <c r="L710" s="68"/>
    </row>
    <row r="711" spans="12:12" x14ac:dyDescent="0.3">
      <c r="L711" s="68"/>
    </row>
    <row r="712" spans="12:12" x14ac:dyDescent="0.3">
      <c r="L712" s="68"/>
    </row>
    <row r="713" spans="12:12" x14ac:dyDescent="0.3">
      <c r="L713" s="68"/>
    </row>
    <row r="714" spans="12:12" x14ac:dyDescent="0.3">
      <c r="L714" s="68"/>
    </row>
    <row r="715" spans="12:12" x14ac:dyDescent="0.3">
      <c r="L715" s="68"/>
    </row>
    <row r="716" spans="12:12" x14ac:dyDescent="0.3">
      <c r="L716" s="68"/>
    </row>
    <row r="717" spans="12:12" x14ac:dyDescent="0.3">
      <c r="L717" s="68"/>
    </row>
    <row r="718" spans="12:12" x14ac:dyDescent="0.3">
      <c r="L718" s="68"/>
    </row>
    <row r="719" spans="12:12" x14ac:dyDescent="0.3">
      <c r="L719" s="68"/>
    </row>
  </sheetData>
  <mergeCells count="5">
    <mergeCell ref="E4:J4"/>
    <mergeCell ref="N4:V4"/>
    <mergeCell ref="Y4:AB4"/>
    <mergeCell ref="Y5:Z5"/>
    <mergeCell ref="AA5:AB5"/>
  </mergeCells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34D755-8539-4F02-9A42-85437EFA1D35}">
  <dimension ref="B1:AF699"/>
  <sheetViews>
    <sheetView topLeftCell="X1" workbookViewId="0">
      <selection activeCell="AG6" sqref="AG6"/>
    </sheetView>
  </sheetViews>
  <sheetFormatPr defaultColWidth="9.109375" defaultRowHeight="14.4" outlineLevelCol="1" x14ac:dyDescent="0.3"/>
  <cols>
    <col min="1" max="1" width="9.109375" style="68"/>
    <col min="2" max="2" width="6.5546875" style="68" customWidth="1"/>
    <col min="3" max="3" width="18.44140625" style="68" customWidth="1"/>
    <col min="4" max="4" width="9.109375" style="68" hidden="1" customWidth="1" outlineLevel="1"/>
    <col min="5" max="5" width="13.44140625" style="68" hidden="1" customWidth="1" outlineLevel="1"/>
    <col min="6" max="6" width="13.109375" style="68" hidden="1" customWidth="1" outlineLevel="1"/>
    <col min="7" max="7" width="10.5546875" style="68" hidden="1" customWidth="1" outlineLevel="1"/>
    <col min="8" max="9" width="9.5546875" style="68" hidden="1" customWidth="1" outlineLevel="1"/>
    <col min="10" max="10" width="10.5546875" style="68" hidden="1" customWidth="1" outlineLevel="1"/>
    <col min="11" max="11" width="9.5546875" style="68" hidden="1" customWidth="1" outlineLevel="1"/>
    <col min="12" max="12" width="10" style="68" hidden="1" customWidth="1" outlineLevel="1"/>
    <col min="13" max="13" width="3.21875" hidden="1" customWidth="1" outlineLevel="1"/>
    <col min="14" max="17" width="10" style="68" hidden="1" customWidth="1" outlineLevel="1"/>
    <col min="18" max="18" width="1.88671875" style="68" hidden="1" customWidth="1" outlineLevel="1"/>
    <col min="19" max="19" width="10" style="68" hidden="1" customWidth="1" outlineLevel="1"/>
    <col min="20" max="20" width="3.109375" style="68" hidden="1" customWidth="1" outlineLevel="1"/>
    <col min="21" max="21" width="10" style="68" hidden="1" customWidth="1" outlineLevel="1"/>
    <col min="22" max="22" width="3.33203125" style="68" hidden="1" customWidth="1" outlineLevel="1"/>
    <col min="23" max="23" width="10" style="68" hidden="1" customWidth="1" outlineLevel="1"/>
    <col min="24" max="24" width="2.109375" style="68" customWidth="1" collapsed="1"/>
    <col min="25" max="25" width="10" style="68" bestFit="1" customWidth="1"/>
    <col min="26" max="26" width="11" style="68" customWidth="1"/>
    <col min="27" max="27" width="12.6640625" style="68" customWidth="1"/>
    <col min="28" max="28" width="9.6640625" style="68" customWidth="1"/>
    <col min="29" max="29" width="11.21875" style="68" customWidth="1"/>
    <col min="30" max="16384" width="9.109375" style="68"/>
  </cols>
  <sheetData>
    <row r="1" spans="2:32" x14ac:dyDescent="0.3">
      <c r="M1" s="68"/>
    </row>
    <row r="2" spans="2:32" x14ac:dyDescent="0.3">
      <c r="B2" s="66"/>
      <c r="C2" s="66"/>
      <c r="D2" s="66"/>
      <c r="E2" s="66"/>
      <c r="F2" s="66"/>
      <c r="G2" s="66"/>
      <c r="H2" s="66"/>
      <c r="I2" s="66"/>
      <c r="J2" s="66"/>
      <c r="K2" s="66"/>
      <c r="L2" s="66"/>
      <c r="N2" s="66"/>
      <c r="O2" s="66"/>
      <c r="P2" s="66"/>
      <c r="Q2" s="66"/>
      <c r="R2" s="66"/>
      <c r="S2" s="66"/>
      <c r="T2" s="66"/>
      <c r="U2" s="66"/>
      <c r="V2" s="66"/>
      <c r="W2" s="66"/>
      <c r="X2" s="66"/>
      <c r="Y2" s="66"/>
      <c r="Z2" s="66"/>
      <c r="AA2" s="66"/>
      <c r="AB2" s="66"/>
      <c r="AC2" s="66"/>
      <c r="AD2" s="66"/>
      <c r="AE2" s="66"/>
      <c r="AF2" s="66"/>
    </row>
    <row r="3" spans="2:32" ht="30.6" customHeight="1" x14ac:dyDescent="0.3">
      <c r="B3" s="66"/>
      <c r="C3" s="261" t="str">
        <f>"Street Lights Bill Impacts"&amp;"-"&amp;'CETR Rate'!D3</f>
        <v>Street Lights Bill Impacts-Distributed Energy Resources Aggregation &amp; Control Platform</v>
      </c>
      <c r="D3" s="69"/>
      <c r="E3" s="66"/>
      <c r="F3" s="66"/>
      <c r="G3" s="66"/>
      <c r="H3" s="66"/>
      <c r="I3" s="66"/>
      <c r="J3" s="66"/>
      <c r="K3" s="66"/>
      <c r="L3" s="66"/>
      <c r="N3" s="66"/>
      <c r="O3" s="66"/>
      <c r="P3" s="66"/>
      <c r="Q3" s="66"/>
      <c r="R3" s="66"/>
      <c r="S3" s="66"/>
      <c r="T3" s="66"/>
      <c r="U3" s="66"/>
      <c r="V3" s="66"/>
      <c r="W3" s="66"/>
      <c r="X3" s="66"/>
      <c r="Y3" s="66" t="str">
        <f>C3</f>
        <v>Street Lights Bill Impacts-Distributed Energy Resources Aggregation &amp; Control Platform</v>
      </c>
      <c r="Z3" s="66"/>
      <c r="AA3" s="66"/>
      <c r="AB3" s="66"/>
      <c r="AC3" s="66"/>
      <c r="AD3" s="66"/>
      <c r="AE3" s="66"/>
      <c r="AF3" s="66"/>
    </row>
    <row r="4" spans="2:32" ht="30.6" customHeight="1" x14ac:dyDescent="0.3">
      <c r="B4" s="66"/>
      <c r="C4" s="71"/>
      <c r="D4" s="71"/>
      <c r="E4" s="71"/>
      <c r="F4" s="226" t="s">
        <v>103</v>
      </c>
      <c r="G4" s="227"/>
      <c r="H4" s="227"/>
      <c r="I4" s="227"/>
      <c r="J4" s="227"/>
      <c r="K4" s="227"/>
      <c r="L4" s="74"/>
      <c r="M4" s="112"/>
      <c r="N4" s="74"/>
      <c r="O4" s="226" t="s">
        <v>113</v>
      </c>
      <c r="P4" s="227"/>
      <c r="Q4" s="227"/>
      <c r="R4" s="227"/>
      <c r="S4" s="227"/>
      <c r="T4" s="227"/>
      <c r="U4" s="227"/>
      <c r="V4" s="227"/>
      <c r="W4" s="227"/>
      <c r="X4" s="75"/>
      <c r="Y4" s="176"/>
      <c r="Z4" s="228" t="s">
        <v>152</v>
      </c>
      <c r="AA4" s="228"/>
      <c r="AB4" s="228"/>
      <c r="AC4" s="228"/>
      <c r="AD4" s="66"/>
      <c r="AE4" s="66"/>
      <c r="AF4" s="66"/>
    </row>
    <row r="5" spans="2:32" ht="60" customHeight="1" x14ac:dyDescent="0.3">
      <c r="B5" s="66"/>
      <c r="C5" s="71"/>
      <c r="D5" s="71"/>
      <c r="E5" s="71"/>
      <c r="F5" s="72"/>
      <c r="G5" s="73"/>
      <c r="H5" s="73"/>
      <c r="I5" s="73"/>
      <c r="J5" s="73"/>
      <c r="K5" s="73"/>
      <c r="L5" s="74"/>
      <c r="M5" s="112"/>
      <c r="N5" s="74"/>
      <c r="O5" s="72"/>
      <c r="P5" s="73"/>
      <c r="Q5" s="73"/>
      <c r="R5" s="73"/>
      <c r="S5" s="214" t="s">
        <v>150</v>
      </c>
      <c r="T5" s="73"/>
      <c r="U5" s="213" t="s">
        <v>99</v>
      </c>
      <c r="V5" s="73"/>
      <c r="W5" s="213" t="s">
        <v>95</v>
      </c>
      <c r="X5" s="75"/>
      <c r="Y5" s="175"/>
      <c r="Z5" s="229" t="s">
        <v>101</v>
      </c>
      <c r="AA5" s="230"/>
      <c r="AB5" s="229" t="s">
        <v>102</v>
      </c>
      <c r="AC5" s="230"/>
      <c r="AD5" s="66"/>
      <c r="AE5" s="66"/>
      <c r="AF5" s="66"/>
    </row>
    <row r="6" spans="2:32" ht="43.2" x14ac:dyDescent="0.3">
      <c r="B6" s="66"/>
      <c r="C6" s="71"/>
      <c r="D6" s="180" t="s">
        <v>96</v>
      </c>
      <c r="E6" s="72" t="s">
        <v>97</v>
      </c>
      <c r="F6" s="72" t="s">
        <v>15</v>
      </c>
      <c r="G6" s="72" t="s">
        <v>16</v>
      </c>
      <c r="H6" s="72" t="s">
        <v>98</v>
      </c>
      <c r="I6" s="72" t="s">
        <v>17</v>
      </c>
      <c r="J6" s="72" t="s">
        <v>99</v>
      </c>
      <c r="K6" s="72" t="s">
        <v>100</v>
      </c>
      <c r="L6" s="72" t="s">
        <v>95</v>
      </c>
      <c r="M6" s="101"/>
      <c r="N6" s="72" t="s">
        <v>15</v>
      </c>
      <c r="O6" s="72" t="s">
        <v>16</v>
      </c>
      <c r="P6" s="72" t="s">
        <v>98</v>
      </c>
      <c r="Q6" s="72" t="s">
        <v>17</v>
      </c>
      <c r="R6" s="72"/>
      <c r="S6" s="72">
        <v>2024</v>
      </c>
      <c r="T6" s="72"/>
      <c r="U6" s="72">
        <v>2024</v>
      </c>
      <c r="V6" s="72"/>
      <c r="W6" s="72">
        <v>2024</v>
      </c>
      <c r="X6" s="66"/>
      <c r="Y6" s="174" t="s">
        <v>96</v>
      </c>
      <c r="Z6" s="173">
        <v>2024</v>
      </c>
      <c r="AA6" s="173" t="s">
        <v>154</v>
      </c>
      <c r="AB6" s="173">
        <v>2024</v>
      </c>
      <c r="AC6" s="173" t="s">
        <v>154</v>
      </c>
      <c r="AD6" s="66"/>
      <c r="AE6" s="66"/>
      <c r="AF6" s="66"/>
    </row>
    <row r="7" spans="2:32" x14ac:dyDescent="0.3">
      <c r="B7" s="66"/>
      <c r="C7" s="133" t="s">
        <v>146</v>
      </c>
      <c r="D7" s="66">
        <v>7.56</v>
      </c>
      <c r="E7" s="78">
        <v>6.5789162832419701E-2</v>
      </c>
      <c r="F7" s="67">
        <f>Tariffs!$E$57</f>
        <v>7.04</v>
      </c>
      <c r="G7" s="79"/>
      <c r="H7" s="80">
        <f>G7+F7</f>
        <v>7.04</v>
      </c>
      <c r="I7" s="67">
        <f>$D7*Tariffs!$J$8</f>
        <v>3.4102480544165084</v>
      </c>
      <c r="J7" s="67">
        <f>I7+H7</f>
        <v>10.450248054416509</v>
      </c>
      <c r="K7" s="67">
        <f>J7*Tariffs!$I$8</f>
        <v>1.8287934095228888</v>
      </c>
      <c r="L7" s="81">
        <f>K7+J7</f>
        <v>12.279041463939398</v>
      </c>
      <c r="M7" s="81"/>
      <c r="N7" s="67">
        <f>F7</f>
        <v>7.04</v>
      </c>
      <c r="O7" s="79"/>
      <c r="P7" s="80">
        <f>O7+N7</f>
        <v>7.04</v>
      </c>
      <c r="Q7" s="67">
        <f>$D7*Tariffs!$J$8</f>
        <v>3.4102480544165084</v>
      </c>
      <c r="R7" s="67"/>
      <c r="S7" s="67">
        <f>$D7*Tariffs!H$57</f>
        <v>1.3381199999999999E-3</v>
      </c>
      <c r="T7" s="67"/>
      <c r="U7" s="67">
        <f>$Q7+$P7+S7</f>
        <v>10.451586174416509</v>
      </c>
      <c r="V7" s="67"/>
      <c r="W7" s="67">
        <f>U7*(1+Tariffs!$I$8)</f>
        <v>12.280613754939399</v>
      </c>
      <c r="X7" s="82"/>
      <c r="Y7" s="83">
        <f>D7</f>
        <v>7.56</v>
      </c>
      <c r="Z7" s="272">
        <f>W7-$L7</f>
        <v>1.5722910000004475E-3</v>
      </c>
      <c r="AA7" s="266">
        <f>SUM(Z7:Z7)</f>
        <v>1.5722910000004475E-3</v>
      </c>
      <c r="AB7" s="267">
        <f>W7/$L7-1</f>
        <v>1.2804672128674532E-4</v>
      </c>
      <c r="AC7" s="268">
        <f>SUM(AB7:AB7)</f>
        <v>1.2804672128674532E-4</v>
      </c>
      <c r="AD7" s="66"/>
      <c r="AE7" s="66"/>
      <c r="AF7" s="66"/>
    </row>
    <row r="8" spans="2:32" x14ac:dyDescent="0.3">
      <c r="B8" s="66"/>
      <c r="C8" s="134" t="s">
        <v>147</v>
      </c>
      <c r="D8" s="135">
        <v>17.28</v>
      </c>
      <c r="E8" s="85">
        <v>9.8571705727423492E-2</v>
      </c>
      <c r="F8" s="88">
        <f>Tariffs!$E$57</f>
        <v>7.04</v>
      </c>
      <c r="G8" s="86"/>
      <c r="H8" s="87">
        <f t="shared" ref="H8" si="0">G8+F8</f>
        <v>7.04</v>
      </c>
      <c r="I8" s="88">
        <f>$D8*Tariffs!$J$8</f>
        <v>7.7948526958091628</v>
      </c>
      <c r="J8" s="88">
        <f t="shared" ref="J8" si="1">I8+H8</f>
        <v>14.834852695809163</v>
      </c>
      <c r="K8" s="88">
        <f>J8*Tariffs!$I$8</f>
        <v>2.5960992217666035</v>
      </c>
      <c r="L8" s="89">
        <f t="shared" ref="L8" si="2">K8+J8</f>
        <v>17.430951917575765</v>
      </c>
      <c r="M8" s="81"/>
      <c r="N8" s="88">
        <f>F8</f>
        <v>7.04</v>
      </c>
      <c r="O8" s="86"/>
      <c r="P8" s="87">
        <f t="shared" ref="P8" si="3">O8+N8</f>
        <v>7.04</v>
      </c>
      <c r="Q8" s="88">
        <f>$D8*Tariffs!$J$8</f>
        <v>7.7948526958091628</v>
      </c>
      <c r="R8" s="67"/>
      <c r="S8" s="88">
        <f>$D8*Tariffs!H$57</f>
        <v>3.0585600000000001E-3</v>
      </c>
      <c r="T8" s="67"/>
      <c r="U8" s="88">
        <f>$Q8+$P8+S8</f>
        <v>14.837911255809162</v>
      </c>
      <c r="V8" s="67"/>
      <c r="W8" s="88">
        <f>U8*(1+Tariffs!$I$8)</f>
        <v>17.434545725575767</v>
      </c>
      <c r="X8" s="82"/>
      <c r="Y8" s="90">
        <f>D8</f>
        <v>17.28</v>
      </c>
      <c r="Z8" s="273">
        <f>W8-$L8</f>
        <v>3.5938080000015304E-3</v>
      </c>
      <c r="AA8" s="269">
        <f>SUM(Z8:Z8)</f>
        <v>3.5938080000015304E-3</v>
      </c>
      <c r="AB8" s="270">
        <f>W8/$L8-1</f>
        <v>2.0617393800370643E-4</v>
      </c>
      <c r="AC8" s="271">
        <f>SUM(AB8:AB8)</f>
        <v>2.0617393800370643E-4</v>
      </c>
      <c r="AD8" s="66"/>
      <c r="AE8" s="66"/>
      <c r="AF8" s="66"/>
    </row>
    <row r="9" spans="2:32" x14ac:dyDescent="0.3">
      <c r="B9" s="66"/>
      <c r="C9" s="66"/>
      <c r="D9" s="97"/>
      <c r="E9" s="97"/>
      <c r="F9" s="98"/>
      <c r="G9" s="98"/>
      <c r="H9" s="67"/>
      <c r="I9" s="67"/>
      <c r="J9" s="67"/>
      <c r="K9" s="67"/>
      <c r="L9" s="67"/>
      <c r="M9" s="3"/>
      <c r="N9" s="67"/>
      <c r="O9" s="67"/>
      <c r="P9" s="67"/>
      <c r="Q9" s="67"/>
      <c r="R9" s="67"/>
      <c r="S9" s="67"/>
      <c r="T9" s="67"/>
      <c r="U9" s="67"/>
      <c r="V9" s="67"/>
      <c r="W9" s="67"/>
      <c r="X9" s="66"/>
      <c r="Y9" s="66"/>
      <c r="Z9" s="66"/>
      <c r="AA9" s="66"/>
      <c r="AB9" s="66"/>
      <c r="AC9" s="66"/>
      <c r="AD9" s="66"/>
      <c r="AE9" s="66"/>
      <c r="AF9" s="66"/>
    </row>
    <row r="10" spans="2:32" x14ac:dyDescent="0.3">
      <c r="M10" s="68"/>
    </row>
    <row r="11" spans="2:32" x14ac:dyDescent="0.3">
      <c r="M11" s="68"/>
    </row>
    <row r="12" spans="2:32" x14ac:dyDescent="0.3">
      <c r="M12" s="68"/>
    </row>
    <row r="13" spans="2:32" x14ac:dyDescent="0.3">
      <c r="M13" s="68"/>
    </row>
    <row r="14" spans="2:32" x14ac:dyDescent="0.3">
      <c r="M14" s="68"/>
    </row>
    <row r="15" spans="2:32" x14ac:dyDescent="0.3">
      <c r="M15" s="68"/>
    </row>
    <row r="16" spans="2:32" x14ac:dyDescent="0.3">
      <c r="M16" s="68"/>
    </row>
    <row r="17" spans="13:13" x14ac:dyDescent="0.3">
      <c r="M17" s="68"/>
    </row>
    <row r="18" spans="13:13" x14ac:dyDescent="0.3">
      <c r="M18" s="68"/>
    </row>
    <row r="19" spans="13:13" x14ac:dyDescent="0.3">
      <c r="M19" s="68"/>
    </row>
    <row r="20" spans="13:13" x14ac:dyDescent="0.3">
      <c r="M20" s="68"/>
    </row>
    <row r="21" spans="13:13" x14ac:dyDescent="0.3">
      <c r="M21" s="68"/>
    </row>
    <row r="22" spans="13:13" x14ac:dyDescent="0.3">
      <c r="M22" s="68"/>
    </row>
    <row r="23" spans="13:13" x14ac:dyDescent="0.3">
      <c r="M23" s="68"/>
    </row>
    <row r="24" spans="13:13" x14ac:dyDescent="0.3">
      <c r="M24" s="68"/>
    </row>
    <row r="25" spans="13:13" x14ac:dyDescent="0.3">
      <c r="M25" s="68"/>
    </row>
    <row r="26" spans="13:13" x14ac:dyDescent="0.3">
      <c r="M26" s="68"/>
    </row>
    <row r="27" spans="13:13" x14ac:dyDescent="0.3">
      <c r="M27" s="68"/>
    </row>
    <row r="28" spans="13:13" x14ac:dyDescent="0.3">
      <c r="M28" s="68"/>
    </row>
    <row r="29" spans="13:13" x14ac:dyDescent="0.3">
      <c r="M29" s="68"/>
    </row>
    <row r="30" spans="13:13" x14ac:dyDescent="0.3">
      <c r="M30" s="68"/>
    </row>
    <row r="31" spans="13:13" x14ac:dyDescent="0.3">
      <c r="M31" s="68"/>
    </row>
    <row r="32" spans="13:13" x14ac:dyDescent="0.3">
      <c r="M32" s="68"/>
    </row>
    <row r="33" spans="13:13" x14ac:dyDescent="0.3">
      <c r="M33" s="68"/>
    </row>
    <row r="34" spans="13:13" x14ac:dyDescent="0.3">
      <c r="M34" s="68"/>
    </row>
    <row r="35" spans="13:13" x14ac:dyDescent="0.3">
      <c r="M35" s="68"/>
    </row>
    <row r="36" spans="13:13" x14ac:dyDescent="0.3">
      <c r="M36" s="68"/>
    </row>
    <row r="37" spans="13:13" x14ac:dyDescent="0.3">
      <c r="M37" s="68"/>
    </row>
    <row r="38" spans="13:13" x14ac:dyDescent="0.3">
      <c r="M38" s="68"/>
    </row>
    <row r="39" spans="13:13" x14ac:dyDescent="0.3">
      <c r="M39" s="68"/>
    </row>
    <row r="40" spans="13:13" x14ac:dyDescent="0.3">
      <c r="M40" s="68"/>
    </row>
    <row r="41" spans="13:13" x14ac:dyDescent="0.3">
      <c r="M41" s="68"/>
    </row>
    <row r="42" spans="13:13" x14ac:dyDescent="0.3">
      <c r="M42" s="68"/>
    </row>
    <row r="43" spans="13:13" x14ac:dyDescent="0.3">
      <c r="M43" s="68"/>
    </row>
    <row r="44" spans="13:13" x14ac:dyDescent="0.3">
      <c r="M44" s="68"/>
    </row>
    <row r="45" spans="13:13" x14ac:dyDescent="0.3">
      <c r="M45" s="68"/>
    </row>
    <row r="46" spans="13:13" x14ac:dyDescent="0.3">
      <c r="M46" s="68"/>
    </row>
    <row r="47" spans="13:13" x14ac:dyDescent="0.3">
      <c r="M47" s="68"/>
    </row>
    <row r="48" spans="13:13" x14ac:dyDescent="0.3">
      <c r="M48" s="68"/>
    </row>
    <row r="49" spans="13:13" x14ac:dyDescent="0.3">
      <c r="M49" s="68"/>
    </row>
    <row r="50" spans="13:13" x14ac:dyDescent="0.3">
      <c r="M50" s="68"/>
    </row>
    <row r="51" spans="13:13" x14ac:dyDescent="0.3">
      <c r="M51" s="68"/>
    </row>
    <row r="52" spans="13:13" x14ac:dyDescent="0.3">
      <c r="M52" s="68"/>
    </row>
    <row r="53" spans="13:13" x14ac:dyDescent="0.3">
      <c r="M53" s="68"/>
    </row>
    <row r="54" spans="13:13" x14ac:dyDescent="0.3">
      <c r="M54" s="68"/>
    </row>
    <row r="55" spans="13:13" x14ac:dyDescent="0.3">
      <c r="M55" s="68"/>
    </row>
    <row r="56" spans="13:13" x14ac:dyDescent="0.3">
      <c r="M56" s="68"/>
    </row>
    <row r="57" spans="13:13" x14ac:dyDescent="0.3">
      <c r="M57" s="68"/>
    </row>
    <row r="58" spans="13:13" x14ac:dyDescent="0.3">
      <c r="M58" s="68"/>
    </row>
    <row r="59" spans="13:13" x14ac:dyDescent="0.3">
      <c r="M59" s="68"/>
    </row>
    <row r="60" spans="13:13" x14ac:dyDescent="0.3">
      <c r="M60" s="68"/>
    </row>
    <row r="61" spans="13:13" x14ac:dyDescent="0.3">
      <c r="M61" s="68"/>
    </row>
    <row r="62" spans="13:13" x14ac:dyDescent="0.3">
      <c r="M62" s="68"/>
    </row>
    <row r="63" spans="13:13" x14ac:dyDescent="0.3">
      <c r="M63" s="68"/>
    </row>
    <row r="64" spans="13:13" x14ac:dyDescent="0.3">
      <c r="M64" s="68"/>
    </row>
    <row r="65" spans="13:13" x14ac:dyDescent="0.3">
      <c r="M65" s="68"/>
    </row>
    <row r="66" spans="13:13" x14ac:dyDescent="0.3">
      <c r="M66" s="68"/>
    </row>
    <row r="67" spans="13:13" x14ac:dyDescent="0.3">
      <c r="M67" s="68"/>
    </row>
    <row r="68" spans="13:13" x14ac:dyDescent="0.3">
      <c r="M68" s="68"/>
    </row>
    <row r="69" spans="13:13" x14ac:dyDescent="0.3">
      <c r="M69" s="68"/>
    </row>
    <row r="70" spans="13:13" x14ac:dyDescent="0.3">
      <c r="M70" s="68"/>
    </row>
    <row r="71" spans="13:13" x14ac:dyDescent="0.3">
      <c r="M71" s="68"/>
    </row>
    <row r="72" spans="13:13" x14ac:dyDescent="0.3">
      <c r="M72" s="68"/>
    </row>
    <row r="73" spans="13:13" x14ac:dyDescent="0.3">
      <c r="M73" s="68"/>
    </row>
    <row r="74" spans="13:13" x14ac:dyDescent="0.3">
      <c r="M74" s="68"/>
    </row>
    <row r="75" spans="13:13" x14ac:dyDescent="0.3">
      <c r="M75" s="68"/>
    </row>
    <row r="76" spans="13:13" x14ac:dyDescent="0.3">
      <c r="M76" s="68"/>
    </row>
    <row r="77" spans="13:13" x14ac:dyDescent="0.3">
      <c r="M77" s="68"/>
    </row>
    <row r="78" spans="13:13" x14ac:dyDescent="0.3">
      <c r="M78" s="68"/>
    </row>
    <row r="79" spans="13:13" x14ac:dyDescent="0.3">
      <c r="M79" s="68"/>
    </row>
    <row r="80" spans="13:13" x14ac:dyDescent="0.3">
      <c r="M80" s="68"/>
    </row>
    <row r="81" spans="13:13" x14ac:dyDescent="0.3">
      <c r="M81" s="68"/>
    </row>
    <row r="82" spans="13:13" x14ac:dyDescent="0.3">
      <c r="M82" s="68"/>
    </row>
    <row r="83" spans="13:13" x14ac:dyDescent="0.3">
      <c r="M83" s="68"/>
    </row>
    <row r="84" spans="13:13" x14ac:dyDescent="0.3">
      <c r="M84" s="68"/>
    </row>
    <row r="85" spans="13:13" x14ac:dyDescent="0.3">
      <c r="M85" s="68"/>
    </row>
    <row r="86" spans="13:13" x14ac:dyDescent="0.3">
      <c r="M86" s="68"/>
    </row>
    <row r="87" spans="13:13" x14ac:dyDescent="0.3">
      <c r="M87" s="68"/>
    </row>
    <row r="88" spans="13:13" x14ac:dyDescent="0.3">
      <c r="M88" s="68"/>
    </row>
    <row r="89" spans="13:13" x14ac:dyDescent="0.3">
      <c r="M89" s="68"/>
    </row>
    <row r="90" spans="13:13" x14ac:dyDescent="0.3">
      <c r="M90" s="68"/>
    </row>
    <row r="91" spans="13:13" x14ac:dyDescent="0.3">
      <c r="M91" s="68"/>
    </row>
    <row r="92" spans="13:13" x14ac:dyDescent="0.3">
      <c r="M92" s="68"/>
    </row>
    <row r="93" spans="13:13" x14ac:dyDescent="0.3">
      <c r="M93" s="68"/>
    </row>
    <row r="94" spans="13:13" x14ac:dyDescent="0.3">
      <c r="M94" s="68"/>
    </row>
    <row r="95" spans="13:13" x14ac:dyDescent="0.3">
      <c r="M95" s="68"/>
    </row>
    <row r="96" spans="13:13" x14ac:dyDescent="0.3">
      <c r="M96" s="68"/>
    </row>
    <row r="97" spans="13:13" x14ac:dyDescent="0.3">
      <c r="M97" s="68"/>
    </row>
    <row r="98" spans="13:13" x14ac:dyDescent="0.3">
      <c r="M98" s="68"/>
    </row>
    <row r="99" spans="13:13" x14ac:dyDescent="0.3">
      <c r="M99" s="68"/>
    </row>
    <row r="100" spans="13:13" x14ac:dyDescent="0.3">
      <c r="M100" s="68"/>
    </row>
    <row r="101" spans="13:13" x14ac:dyDescent="0.3">
      <c r="M101" s="68"/>
    </row>
    <row r="102" spans="13:13" x14ac:dyDescent="0.3">
      <c r="M102" s="68"/>
    </row>
    <row r="103" spans="13:13" x14ac:dyDescent="0.3">
      <c r="M103" s="68"/>
    </row>
    <row r="104" spans="13:13" x14ac:dyDescent="0.3">
      <c r="M104" s="68"/>
    </row>
    <row r="105" spans="13:13" x14ac:dyDescent="0.3">
      <c r="M105" s="68"/>
    </row>
    <row r="106" spans="13:13" x14ac:dyDescent="0.3">
      <c r="M106" s="68"/>
    </row>
    <row r="107" spans="13:13" x14ac:dyDescent="0.3">
      <c r="M107" s="68"/>
    </row>
    <row r="108" spans="13:13" x14ac:dyDescent="0.3">
      <c r="M108" s="68"/>
    </row>
    <row r="109" spans="13:13" x14ac:dyDescent="0.3">
      <c r="M109" s="68"/>
    </row>
    <row r="110" spans="13:13" x14ac:dyDescent="0.3">
      <c r="M110" s="68"/>
    </row>
    <row r="111" spans="13:13" x14ac:dyDescent="0.3">
      <c r="M111" s="68"/>
    </row>
    <row r="112" spans="13:13" x14ac:dyDescent="0.3">
      <c r="M112" s="68"/>
    </row>
    <row r="113" spans="13:13" x14ac:dyDescent="0.3">
      <c r="M113" s="68"/>
    </row>
    <row r="114" spans="13:13" x14ac:dyDescent="0.3">
      <c r="M114" s="68"/>
    </row>
    <row r="115" spans="13:13" x14ac:dyDescent="0.3">
      <c r="M115" s="68"/>
    </row>
    <row r="116" spans="13:13" x14ac:dyDescent="0.3">
      <c r="M116" s="68"/>
    </row>
    <row r="117" spans="13:13" x14ac:dyDescent="0.3">
      <c r="M117" s="68"/>
    </row>
    <row r="118" spans="13:13" x14ac:dyDescent="0.3">
      <c r="M118" s="68"/>
    </row>
    <row r="119" spans="13:13" x14ac:dyDescent="0.3">
      <c r="M119" s="68"/>
    </row>
    <row r="120" spans="13:13" x14ac:dyDescent="0.3">
      <c r="M120" s="68"/>
    </row>
    <row r="121" spans="13:13" x14ac:dyDescent="0.3">
      <c r="M121" s="68"/>
    </row>
    <row r="122" spans="13:13" x14ac:dyDescent="0.3">
      <c r="M122" s="68"/>
    </row>
    <row r="123" spans="13:13" x14ac:dyDescent="0.3">
      <c r="M123" s="68"/>
    </row>
    <row r="124" spans="13:13" x14ac:dyDescent="0.3">
      <c r="M124" s="68"/>
    </row>
    <row r="125" spans="13:13" x14ac:dyDescent="0.3">
      <c r="M125" s="68"/>
    </row>
    <row r="126" spans="13:13" x14ac:dyDescent="0.3">
      <c r="M126" s="68"/>
    </row>
    <row r="127" spans="13:13" x14ac:dyDescent="0.3">
      <c r="M127" s="68"/>
    </row>
    <row r="128" spans="13:13" x14ac:dyDescent="0.3">
      <c r="M128" s="68"/>
    </row>
    <row r="129" spans="13:13" x14ac:dyDescent="0.3">
      <c r="M129" s="68"/>
    </row>
    <row r="130" spans="13:13" x14ac:dyDescent="0.3">
      <c r="M130" s="68"/>
    </row>
    <row r="131" spans="13:13" x14ac:dyDescent="0.3">
      <c r="M131" s="68"/>
    </row>
    <row r="132" spans="13:13" x14ac:dyDescent="0.3">
      <c r="M132" s="68"/>
    </row>
    <row r="133" spans="13:13" x14ac:dyDescent="0.3">
      <c r="M133" s="68"/>
    </row>
    <row r="134" spans="13:13" x14ac:dyDescent="0.3">
      <c r="M134" s="68"/>
    </row>
    <row r="135" spans="13:13" x14ac:dyDescent="0.3">
      <c r="M135" s="68"/>
    </row>
    <row r="136" spans="13:13" x14ac:dyDescent="0.3">
      <c r="M136" s="68"/>
    </row>
    <row r="137" spans="13:13" x14ac:dyDescent="0.3">
      <c r="M137" s="68"/>
    </row>
    <row r="138" spans="13:13" x14ac:dyDescent="0.3">
      <c r="M138" s="68"/>
    </row>
    <row r="139" spans="13:13" x14ac:dyDescent="0.3">
      <c r="M139" s="68"/>
    </row>
    <row r="140" spans="13:13" x14ac:dyDescent="0.3">
      <c r="M140" s="68"/>
    </row>
    <row r="141" spans="13:13" x14ac:dyDescent="0.3">
      <c r="M141" s="68"/>
    </row>
    <row r="142" spans="13:13" x14ac:dyDescent="0.3">
      <c r="M142" s="68"/>
    </row>
    <row r="143" spans="13:13" x14ac:dyDescent="0.3">
      <c r="M143" s="68"/>
    </row>
    <row r="144" spans="13:13" x14ac:dyDescent="0.3">
      <c r="M144" s="68"/>
    </row>
    <row r="145" spans="13:13" x14ac:dyDescent="0.3">
      <c r="M145" s="68"/>
    </row>
    <row r="146" spans="13:13" x14ac:dyDescent="0.3">
      <c r="M146" s="68"/>
    </row>
    <row r="147" spans="13:13" x14ac:dyDescent="0.3">
      <c r="M147" s="68"/>
    </row>
    <row r="148" spans="13:13" x14ac:dyDescent="0.3">
      <c r="M148" s="68"/>
    </row>
    <row r="149" spans="13:13" x14ac:dyDescent="0.3">
      <c r="M149" s="68"/>
    </row>
    <row r="150" spans="13:13" x14ac:dyDescent="0.3">
      <c r="M150" s="68"/>
    </row>
    <row r="151" spans="13:13" x14ac:dyDescent="0.3">
      <c r="M151" s="68"/>
    </row>
    <row r="152" spans="13:13" x14ac:dyDescent="0.3">
      <c r="M152" s="68"/>
    </row>
    <row r="153" spans="13:13" x14ac:dyDescent="0.3">
      <c r="M153" s="68"/>
    </row>
    <row r="154" spans="13:13" x14ac:dyDescent="0.3">
      <c r="M154" s="68"/>
    </row>
    <row r="155" spans="13:13" x14ac:dyDescent="0.3">
      <c r="M155" s="68"/>
    </row>
    <row r="156" spans="13:13" x14ac:dyDescent="0.3">
      <c r="M156" s="68"/>
    </row>
    <row r="157" spans="13:13" x14ac:dyDescent="0.3">
      <c r="M157" s="68"/>
    </row>
    <row r="158" spans="13:13" x14ac:dyDescent="0.3">
      <c r="M158" s="68"/>
    </row>
    <row r="159" spans="13:13" x14ac:dyDescent="0.3">
      <c r="M159" s="68"/>
    </row>
    <row r="160" spans="13:13" x14ac:dyDescent="0.3">
      <c r="M160" s="68"/>
    </row>
    <row r="161" spans="13:13" x14ac:dyDescent="0.3">
      <c r="M161" s="68"/>
    </row>
    <row r="162" spans="13:13" x14ac:dyDescent="0.3">
      <c r="M162" s="68"/>
    </row>
    <row r="163" spans="13:13" x14ac:dyDescent="0.3">
      <c r="M163" s="68"/>
    </row>
    <row r="164" spans="13:13" x14ac:dyDescent="0.3">
      <c r="M164" s="68"/>
    </row>
    <row r="165" spans="13:13" x14ac:dyDescent="0.3">
      <c r="M165" s="68"/>
    </row>
    <row r="166" spans="13:13" x14ac:dyDescent="0.3">
      <c r="M166" s="68"/>
    </row>
    <row r="167" spans="13:13" x14ac:dyDescent="0.3">
      <c r="M167" s="68"/>
    </row>
    <row r="168" spans="13:13" x14ac:dyDescent="0.3">
      <c r="M168" s="68"/>
    </row>
    <row r="169" spans="13:13" x14ac:dyDescent="0.3">
      <c r="M169" s="68"/>
    </row>
    <row r="170" spans="13:13" x14ac:dyDescent="0.3">
      <c r="M170" s="68"/>
    </row>
    <row r="171" spans="13:13" x14ac:dyDescent="0.3">
      <c r="M171" s="68"/>
    </row>
    <row r="172" spans="13:13" x14ac:dyDescent="0.3">
      <c r="M172" s="68"/>
    </row>
    <row r="173" spans="13:13" x14ac:dyDescent="0.3">
      <c r="M173" s="68"/>
    </row>
    <row r="174" spans="13:13" x14ac:dyDescent="0.3">
      <c r="M174" s="68"/>
    </row>
    <row r="175" spans="13:13" x14ac:dyDescent="0.3">
      <c r="M175" s="68"/>
    </row>
    <row r="176" spans="13:13" x14ac:dyDescent="0.3">
      <c r="M176" s="68"/>
    </row>
    <row r="177" spans="13:13" x14ac:dyDescent="0.3">
      <c r="M177" s="68"/>
    </row>
    <row r="178" spans="13:13" x14ac:dyDescent="0.3">
      <c r="M178" s="68"/>
    </row>
    <row r="179" spans="13:13" x14ac:dyDescent="0.3">
      <c r="M179" s="68"/>
    </row>
    <row r="180" spans="13:13" x14ac:dyDescent="0.3">
      <c r="M180" s="68"/>
    </row>
    <row r="181" spans="13:13" x14ac:dyDescent="0.3">
      <c r="M181" s="68"/>
    </row>
    <row r="182" spans="13:13" x14ac:dyDescent="0.3">
      <c r="M182" s="68"/>
    </row>
    <row r="183" spans="13:13" x14ac:dyDescent="0.3">
      <c r="M183" s="68"/>
    </row>
    <row r="184" spans="13:13" x14ac:dyDescent="0.3">
      <c r="M184" s="68"/>
    </row>
    <row r="185" spans="13:13" x14ac:dyDescent="0.3">
      <c r="M185" s="68"/>
    </row>
    <row r="186" spans="13:13" x14ac:dyDescent="0.3">
      <c r="M186" s="68"/>
    </row>
    <row r="187" spans="13:13" x14ac:dyDescent="0.3">
      <c r="M187" s="68"/>
    </row>
    <row r="188" spans="13:13" x14ac:dyDescent="0.3">
      <c r="M188" s="68"/>
    </row>
    <row r="189" spans="13:13" x14ac:dyDescent="0.3">
      <c r="M189" s="68"/>
    </row>
    <row r="190" spans="13:13" x14ac:dyDescent="0.3">
      <c r="M190" s="68"/>
    </row>
    <row r="191" spans="13:13" x14ac:dyDescent="0.3">
      <c r="M191" s="68"/>
    </row>
    <row r="192" spans="13:13" x14ac:dyDescent="0.3">
      <c r="M192" s="68"/>
    </row>
    <row r="193" spans="13:13" x14ac:dyDescent="0.3">
      <c r="M193" s="68"/>
    </row>
    <row r="194" spans="13:13" x14ac:dyDescent="0.3">
      <c r="M194" s="68"/>
    </row>
    <row r="195" spans="13:13" x14ac:dyDescent="0.3">
      <c r="M195" s="68"/>
    </row>
    <row r="196" spans="13:13" x14ac:dyDescent="0.3">
      <c r="M196" s="68"/>
    </row>
    <row r="197" spans="13:13" x14ac:dyDescent="0.3">
      <c r="M197" s="68"/>
    </row>
    <row r="198" spans="13:13" x14ac:dyDescent="0.3">
      <c r="M198" s="68"/>
    </row>
    <row r="199" spans="13:13" x14ac:dyDescent="0.3">
      <c r="M199" s="68"/>
    </row>
    <row r="200" spans="13:13" x14ac:dyDescent="0.3">
      <c r="M200" s="68"/>
    </row>
    <row r="201" spans="13:13" x14ac:dyDescent="0.3">
      <c r="M201" s="68"/>
    </row>
    <row r="202" spans="13:13" x14ac:dyDescent="0.3">
      <c r="M202" s="68"/>
    </row>
    <row r="203" spans="13:13" x14ac:dyDescent="0.3">
      <c r="M203" s="68"/>
    </row>
    <row r="204" spans="13:13" x14ac:dyDescent="0.3">
      <c r="M204" s="68"/>
    </row>
    <row r="205" spans="13:13" x14ac:dyDescent="0.3">
      <c r="M205" s="68"/>
    </row>
    <row r="206" spans="13:13" x14ac:dyDescent="0.3">
      <c r="M206" s="68"/>
    </row>
    <row r="207" spans="13:13" x14ac:dyDescent="0.3">
      <c r="M207" s="68"/>
    </row>
    <row r="208" spans="13:13" x14ac:dyDescent="0.3">
      <c r="M208" s="68"/>
    </row>
    <row r="209" spans="13:13" x14ac:dyDescent="0.3">
      <c r="M209" s="68"/>
    </row>
    <row r="210" spans="13:13" x14ac:dyDescent="0.3">
      <c r="M210" s="68"/>
    </row>
    <row r="211" spans="13:13" x14ac:dyDescent="0.3">
      <c r="M211" s="68"/>
    </row>
    <row r="212" spans="13:13" x14ac:dyDescent="0.3">
      <c r="M212" s="68"/>
    </row>
    <row r="213" spans="13:13" x14ac:dyDescent="0.3">
      <c r="M213" s="68"/>
    </row>
    <row r="214" spans="13:13" x14ac:dyDescent="0.3">
      <c r="M214" s="68"/>
    </row>
    <row r="215" spans="13:13" x14ac:dyDescent="0.3">
      <c r="M215" s="68"/>
    </row>
    <row r="216" spans="13:13" x14ac:dyDescent="0.3">
      <c r="M216" s="68"/>
    </row>
    <row r="217" spans="13:13" x14ac:dyDescent="0.3">
      <c r="M217" s="68"/>
    </row>
    <row r="218" spans="13:13" x14ac:dyDescent="0.3">
      <c r="M218" s="68"/>
    </row>
    <row r="219" spans="13:13" x14ac:dyDescent="0.3">
      <c r="M219" s="68"/>
    </row>
    <row r="220" spans="13:13" x14ac:dyDescent="0.3">
      <c r="M220" s="68"/>
    </row>
    <row r="221" spans="13:13" x14ac:dyDescent="0.3">
      <c r="M221" s="68"/>
    </row>
    <row r="222" spans="13:13" x14ac:dyDescent="0.3">
      <c r="M222" s="68"/>
    </row>
    <row r="223" spans="13:13" x14ac:dyDescent="0.3">
      <c r="M223" s="68"/>
    </row>
    <row r="224" spans="13:13" x14ac:dyDescent="0.3">
      <c r="M224" s="68"/>
    </row>
    <row r="225" spans="13:13" x14ac:dyDescent="0.3">
      <c r="M225" s="68"/>
    </row>
    <row r="226" spans="13:13" x14ac:dyDescent="0.3">
      <c r="M226" s="68"/>
    </row>
    <row r="227" spans="13:13" x14ac:dyDescent="0.3">
      <c r="M227" s="68"/>
    </row>
    <row r="228" spans="13:13" x14ac:dyDescent="0.3">
      <c r="M228" s="68"/>
    </row>
    <row r="229" spans="13:13" x14ac:dyDescent="0.3">
      <c r="M229" s="68"/>
    </row>
    <row r="230" spans="13:13" x14ac:dyDescent="0.3">
      <c r="M230" s="68"/>
    </row>
    <row r="231" spans="13:13" x14ac:dyDescent="0.3">
      <c r="M231" s="68"/>
    </row>
    <row r="232" spans="13:13" x14ac:dyDescent="0.3">
      <c r="M232" s="68"/>
    </row>
    <row r="233" spans="13:13" x14ac:dyDescent="0.3">
      <c r="M233" s="68"/>
    </row>
    <row r="234" spans="13:13" x14ac:dyDescent="0.3">
      <c r="M234" s="68"/>
    </row>
    <row r="235" spans="13:13" x14ac:dyDescent="0.3">
      <c r="M235" s="68"/>
    </row>
    <row r="236" spans="13:13" x14ac:dyDescent="0.3">
      <c r="M236" s="68"/>
    </row>
    <row r="237" spans="13:13" x14ac:dyDescent="0.3">
      <c r="M237" s="68"/>
    </row>
    <row r="238" spans="13:13" x14ac:dyDescent="0.3">
      <c r="M238" s="68"/>
    </row>
    <row r="239" spans="13:13" x14ac:dyDescent="0.3">
      <c r="M239" s="68"/>
    </row>
    <row r="240" spans="13:13" x14ac:dyDescent="0.3">
      <c r="M240" s="68"/>
    </row>
    <row r="241" spans="13:13" x14ac:dyDescent="0.3">
      <c r="M241" s="68"/>
    </row>
    <row r="242" spans="13:13" x14ac:dyDescent="0.3">
      <c r="M242" s="68"/>
    </row>
    <row r="243" spans="13:13" x14ac:dyDescent="0.3">
      <c r="M243" s="68"/>
    </row>
    <row r="244" spans="13:13" x14ac:dyDescent="0.3">
      <c r="M244" s="68"/>
    </row>
    <row r="245" spans="13:13" x14ac:dyDescent="0.3">
      <c r="M245" s="68"/>
    </row>
    <row r="246" spans="13:13" x14ac:dyDescent="0.3">
      <c r="M246" s="68"/>
    </row>
    <row r="247" spans="13:13" x14ac:dyDescent="0.3">
      <c r="M247" s="68"/>
    </row>
    <row r="248" spans="13:13" x14ac:dyDescent="0.3">
      <c r="M248" s="68"/>
    </row>
    <row r="249" spans="13:13" x14ac:dyDescent="0.3">
      <c r="M249" s="68"/>
    </row>
    <row r="250" spans="13:13" x14ac:dyDescent="0.3">
      <c r="M250" s="68"/>
    </row>
    <row r="251" spans="13:13" x14ac:dyDescent="0.3">
      <c r="M251" s="68"/>
    </row>
    <row r="252" spans="13:13" x14ac:dyDescent="0.3">
      <c r="M252" s="68"/>
    </row>
    <row r="253" spans="13:13" x14ac:dyDescent="0.3">
      <c r="M253" s="68"/>
    </row>
    <row r="254" spans="13:13" x14ac:dyDescent="0.3">
      <c r="M254" s="68"/>
    </row>
    <row r="255" spans="13:13" x14ac:dyDescent="0.3">
      <c r="M255" s="68"/>
    </row>
    <row r="256" spans="13:13" x14ac:dyDescent="0.3">
      <c r="M256" s="68"/>
    </row>
    <row r="257" spans="13:13" x14ac:dyDescent="0.3">
      <c r="M257" s="68"/>
    </row>
    <row r="258" spans="13:13" x14ac:dyDescent="0.3">
      <c r="M258" s="68"/>
    </row>
    <row r="259" spans="13:13" x14ac:dyDescent="0.3">
      <c r="M259" s="68"/>
    </row>
    <row r="260" spans="13:13" x14ac:dyDescent="0.3">
      <c r="M260" s="68"/>
    </row>
    <row r="261" spans="13:13" x14ac:dyDescent="0.3">
      <c r="M261" s="68"/>
    </row>
    <row r="262" spans="13:13" x14ac:dyDescent="0.3">
      <c r="M262" s="68"/>
    </row>
    <row r="263" spans="13:13" x14ac:dyDescent="0.3">
      <c r="M263" s="68"/>
    </row>
    <row r="264" spans="13:13" x14ac:dyDescent="0.3">
      <c r="M264" s="68"/>
    </row>
    <row r="265" spans="13:13" x14ac:dyDescent="0.3">
      <c r="M265" s="68"/>
    </row>
    <row r="266" spans="13:13" x14ac:dyDescent="0.3">
      <c r="M266" s="68"/>
    </row>
    <row r="267" spans="13:13" x14ac:dyDescent="0.3">
      <c r="M267" s="68"/>
    </row>
    <row r="268" spans="13:13" x14ac:dyDescent="0.3">
      <c r="M268" s="68"/>
    </row>
    <row r="269" spans="13:13" x14ac:dyDescent="0.3">
      <c r="M269" s="68"/>
    </row>
    <row r="270" spans="13:13" x14ac:dyDescent="0.3">
      <c r="M270" s="68"/>
    </row>
    <row r="271" spans="13:13" x14ac:dyDescent="0.3">
      <c r="M271" s="68"/>
    </row>
    <row r="272" spans="13:13" x14ac:dyDescent="0.3">
      <c r="M272" s="68"/>
    </row>
    <row r="273" spans="13:13" x14ac:dyDescent="0.3">
      <c r="M273" s="68"/>
    </row>
    <row r="274" spans="13:13" x14ac:dyDescent="0.3">
      <c r="M274" s="68"/>
    </row>
    <row r="275" spans="13:13" x14ac:dyDescent="0.3">
      <c r="M275" s="68"/>
    </row>
    <row r="276" spans="13:13" x14ac:dyDescent="0.3">
      <c r="M276" s="68"/>
    </row>
    <row r="277" spans="13:13" x14ac:dyDescent="0.3">
      <c r="M277" s="68"/>
    </row>
    <row r="278" spans="13:13" x14ac:dyDescent="0.3">
      <c r="M278" s="68"/>
    </row>
    <row r="279" spans="13:13" x14ac:dyDescent="0.3">
      <c r="M279" s="68"/>
    </row>
    <row r="280" spans="13:13" x14ac:dyDescent="0.3">
      <c r="M280" s="68"/>
    </row>
    <row r="281" spans="13:13" x14ac:dyDescent="0.3">
      <c r="M281" s="68"/>
    </row>
    <row r="282" spans="13:13" x14ac:dyDescent="0.3">
      <c r="M282" s="68"/>
    </row>
    <row r="283" spans="13:13" x14ac:dyDescent="0.3">
      <c r="M283" s="68"/>
    </row>
    <row r="284" spans="13:13" x14ac:dyDescent="0.3">
      <c r="M284" s="68"/>
    </row>
    <row r="285" spans="13:13" x14ac:dyDescent="0.3">
      <c r="M285" s="68"/>
    </row>
    <row r="286" spans="13:13" x14ac:dyDescent="0.3">
      <c r="M286" s="68"/>
    </row>
    <row r="287" spans="13:13" x14ac:dyDescent="0.3">
      <c r="M287" s="68"/>
    </row>
    <row r="288" spans="13:13" x14ac:dyDescent="0.3">
      <c r="M288" s="68"/>
    </row>
    <row r="289" spans="13:13" x14ac:dyDescent="0.3">
      <c r="M289" s="68"/>
    </row>
    <row r="290" spans="13:13" x14ac:dyDescent="0.3">
      <c r="M290" s="68"/>
    </row>
    <row r="291" spans="13:13" x14ac:dyDescent="0.3">
      <c r="M291" s="68"/>
    </row>
    <row r="292" spans="13:13" x14ac:dyDescent="0.3">
      <c r="M292" s="68"/>
    </row>
    <row r="293" spans="13:13" x14ac:dyDescent="0.3">
      <c r="M293" s="68"/>
    </row>
    <row r="294" spans="13:13" x14ac:dyDescent="0.3">
      <c r="M294" s="68"/>
    </row>
    <row r="295" spans="13:13" x14ac:dyDescent="0.3">
      <c r="M295" s="68"/>
    </row>
    <row r="296" spans="13:13" x14ac:dyDescent="0.3">
      <c r="M296" s="68"/>
    </row>
    <row r="297" spans="13:13" x14ac:dyDescent="0.3">
      <c r="M297" s="68"/>
    </row>
    <row r="298" spans="13:13" x14ac:dyDescent="0.3">
      <c r="M298" s="68"/>
    </row>
    <row r="299" spans="13:13" x14ac:dyDescent="0.3">
      <c r="M299" s="68"/>
    </row>
    <row r="300" spans="13:13" x14ac:dyDescent="0.3">
      <c r="M300" s="68"/>
    </row>
    <row r="301" spans="13:13" x14ac:dyDescent="0.3">
      <c r="M301" s="68"/>
    </row>
    <row r="302" spans="13:13" x14ac:dyDescent="0.3">
      <c r="M302" s="68"/>
    </row>
    <row r="303" spans="13:13" x14ac:dyDescent="0.3">
      <c r="M303" s="68"/>
    </row>
    <row r="304" spans="13:13" x14ac:dyDescent="0.3">
      <c r="M304" s="68"/>
    </row>
    <row r="305" spans="13:13" x14ac:dyDescent="0.3">
      <c r="M305" s="68"/>
    </row>
    <row r="306" spans="13:13" x14ac:dyDescent="0.3">
      <c r="M306" s="68"/>
    </row>
    <row r="307" spans="13:13" x14ac:dyDescent="0.3">
      <c r="M307" s="68"/>
    </row>
    <row r="308" spans="13:13" x14ac:dyDescent="0.3">
      <c r="M308" s="68"/>
    </row>
    <row r="309" spans="13:13" x14ac:dyDescent="0.3">
      <c r="M309" s="68"/>
    </row>
    <row r="310" spans="13:13" x14ac:dyDescent="0.3">
      <c r="M310" s="68"/>
    </row>
    <row r="311" spans="13:13" x14ac:dyDescent="0.3">
      <c r="M311" s="68"/>
    </row>
    <row r="312" spans="13:13" x14ac:dyDescent="0.3">
      <c r="M312" s="68"/>
    </row>
    <row r="313" spans="13:13" x14ac:dyDescent="0.3">
      <c r="M313" s="68"/>
    </row>
    <row r="314" spans="13:13" x14ac:dyDescent="0.3">
      <c r="M314" s="68"/>
    </row>
    <row r="315" spans="13:13" x14ac:dyDescent="0.3">
      <c r="M315" s="68"/>
    </row>
    <row r="316" spans="13:13" x14ac:dyDescent="0.3">
      <c r="M316" s="68"/>
    </row>
    <row r="317" spans="13:13" x14ac:dyDescent="0.3">
      <c r="M317" s="68"/>
    </row>
    <row r="318" spans="13:13" x14ac:dyDescent="0.3">
      <c r="M318" s="68"/>
    </row>
    <row r="319" spans="13:13" x14ac:dyDescent="0.3">
      <c r="M319" s="68"/>
    </row>
    <row r="320" spans="13:13" x14ac:dyDescent="0.3">
      <c r="M320" s="68"/>
    </row>
    <row r="321" spans="13:13" x14ac:dyDescent="0.3">
      <c r="M321" s="68"/>
    </row>
    <row r="322" spans="13:13" x14ac:dyDescent="0.3">
      <c r="M322" s="68"/>
    </row>
    <row r="323" spans="13:13" x14ac:dyDescent="0.3">
      <c r="M323" s="68"/>
    </row>
    <row r="324" spans="13:13" x14ac:dyDescent="0.3">
      <c r="M324" s="68"/>
    </row>
    <row r="325" spans="13:13" x14ac:dyDescent="0.3">
      <c r="M325" s="68"/>
    </row>
    <row r="326" spans="13:13" x14ac:dyDescent="0.3">
      <c r="M326" s="68"/>
    </row>
    <row r="327" spans="13:13" x14ac:dyDescent="0.3">
      <c r="M327" s="68"/>
    </row>
    <row r="328" spans="13:13" x14ac:dyDescent="0.3">
      <c r="M328" s="68"/>
    </row>
    <row r="329" spans="13:13" x14ac:dyDescent="0.3">
      <c r="M329" s="68"/>
    </row>
    <row r="330" spans="13:13" x14ac:dyDescent="0.3">
      <c r="M330" s="68"/>
    </row>
    <row r="331" spans="13:13" x14ac:dyDescent="0.3">
      <c r="M331" s="68"/>
    </row>
    <row r="332" spans="13:13" x14ac:dyDescent="0.3">
      <c r="M332" s="68"/>
    </row>
    <row r="333" spans="13:13" x14ac:dyDescent="0.3">
      <c r="M333" s="68"/>
    </row>
    <row r="334" spans="13:13" x14ac:dyDescent="0.3">
      <c r="M334" s="68"/>
    </row>
    <row r="335" spans="13:13" x14ac:dyDescent="0.3">
      <c r="M335" s="68"/>
    </row>
    <row r="336" spans="13:13" x14ac:dyDescent="0.3">
      <c r="M336" s="68"/>
    </row>
    <row r="337" spans="13:13" x14ac:dyDescent="0.3">
      <c r="M337" s="68"/>
    </row>
    <row r="338" spans="13:13" x14ac:dyDescent="0.3">
      <c r="M338" s="68"/>
    </row>
    <row r="339" spans="13:13" x14ac:dyDescent="0.3">
      <c r="M339" s="68"/>
    </row>
    <row r="340" spans="13:13" x14ac:dyDescent="0.3">
      <c r="M340" s="68"/>
    </row>
    <row r="341" spans="13:13" x14ac:dyDescent="0.3">
      <c r="M341" s="68"/>
    </row>
    <row r="342" spans="13:13" x14ac:dyDescent="0.3">
      <c r="M342" s="68"/>
    </row>
    <row r="343" spans="13:13" x14ac:dyDescent="0.3">
      <c r="M343" s="68"/>
    </row>
    <row r="344" spans="13:13" x14ac:dyDescent="0.3">
      <c r="M344" s="68"/>
    </row>
    <row r="345" spans="13:13" x14ac:dyDescent="0.3">
      <c r="M345" s="68"/>
    </row>
    <row r="346" spans="13:13" x14ac:dyDescent="0.3">
      <c r="M346" s="68"/>
    </row>
    <row r="347" spans="13:13" x14ac:dyDescent="0.3">
      <c r="M347" s="68"/>
    </row>
    <row r="348" spans="13:13" x14ac:dyDescent="0.3">
      <c r="M348" s="68"/>
    </row>
    <row r="349" spans="13:13" x14ac:dyDescent="0.3">
      <c r="M349" s="68"/>
    </row>
    <row r="350" spans="13:13" x14ac:dyDescent="0.3">
      <c r="M350" s="68"/>
    </row>
    <row r="351" spans="13:13" x14ac:dyDescent="0.3">
      <c r="M351" s="68"/>
    </row>
    <row r="352" spans="13:13" x14ac:dyDescent="0.3">
      <c r="M352" s="68"/>
    </row>
    <row r="353" spans="13:13" x14ac:dyDescent="0.3">
      <c r="M353" s="68"/>
    </row>
    <row r="354" spans="13:13" x14ac:dyDescent="0.3">
      <c r="M354" s="68"/>
    </row>
    <row r="355" spans="13:13" x14ac:dyDescent="0.3">
      <c r="M355" s="68"/>
    </row>
    <row r="356" spans="13:13" x14ac:dyDescent="0.3">
      <c r="M356" s="68"/>
    </row>
    <row r="357" spans="13:13" x14ac:dyDescent="0.3">
      <c r="M357" s="68"/>
    </row>
    <row r="358" spans="13:13" x14ac:dyDescent="0.3">
      <c r="M358" s="68"/>
    </row>
    <row r="359" spans="13:13" x14ac:dyDescent="0.3">
      <c r="M359" s="68"/>
    </row>
    <row r="360" spans="13:13" x14ac:dyDescent="0.3">
      <c r="M360" s="68"/>
    </row>
    <row r="361" spans="13:13" x14ac:dyDescent="0.3">
      <c r="M361" s="68"/>
    </row>
    <row r="362" spans="13:13" x14ac:dyDescent="0.3">
      <c r="M362" s="68"/>
    </row>
    <row r="363" spans="13:13" x14ac:dyDescent="0.3">
      <c r="M363" s="68"/>
    </row>
    <row r="364" spans="13:13" x14ac:dyDescent="0.3">
      <c r="M364" s="68"/>
    </row>
    <row r="365" spans="13:13" x14ac:dyDescent="0.3">
      <c r="M365" s="68"/>
    </row>
    <row r="366" spans="13:13" x14ac:dyDescent="0.3">
      <c r="M366" s="68"/>
    </row>
    <row r="367" spans="13:13" x14ac:dyDescent="0.3">
      <c r="M367" s="68"/>
    </row>
    <row r="368" spans="13:13" x14ac:dyDescent="0.3">
      <c r="M368" s="68"/>
    </row>
    <row r="369" spans="13:13" x14ac:dyDescent="0.3">
      <c r="M369" s="68"/>
    </row>
    <row r="370" spans="13:13" x14ac:dyDescent="0.3">
      <c r="M370" s="68"/>
    </row>
    <row r="371" spans="13:13" x14ac:dyDescent="0.3">
      <c r="M371" s="68"/>
    </row>
    <row r="372" spans="13:13" x14ac:dyDescent="0.3">
      <c r="M372" s="68"/>
    </row>
    <row r="373" spans="13:13" x14ac:dyDescent="0.3">
      <c r="M373" s="68"/>
    </row>
    <row r="374" spans="13:13" x14ac:dyDescent="0.3">
      <c r="M374" s="68"/>
    </row>
    <row r="375" spans="13:13" x14ac:dyDescent="0.3">
      <c r="M375" s="68"/>
    </row>
    <row r="376" spans="13:13" x14ac:dyDescent="0.3">
      <c r="M376" s="68"/>
    </row>
    <row r="377" spans="13:13" x14ac:dyDescent="0.3">
      <c r="M377" s="68"/>
    </row>
    <row r="378" spans="13:13" x14ac:dyDescent="0.3">
      <c r="M378" s="68"/>
    </row>
    <row r="379" spans="13:13" x14ac:dyDescent="0.3">
      <c r="M379" s="68"/>
    </row>
    <row r="380" spans="13:13" x14ac:dyDescent="0.3">
      <c r="M380" s="68"/>
    </row>
    <row r="381" spans="13:13" x14ac:dyDescent="0.3">
      <c r="M381" s="68"/>
    </row>
    <row r="382" spans="13:13" x14ac:dyDescent="0.3">
      <c r="M382" s="68"/>
    </row>
    <row r="383" spans="13:13" x14ac:dyDescent="0.3">
      <c r="M383" s="68"/>
    </row>
    <row r="384" spans="13:13" x14ac:dyDescent="0.3">
      <c r="M384" s="68"/>
    </row>
    <row r="385" spans="13:13" x14ac:dyDescent="0.3">
      <c r="M385" s="68"/>
    </row>
    <row r="386" spans="13:13" x14ac:dyDescent="0.3">
      <c r="M386" s="68"/>
    </row>
    <row r="387" spans="13:13" x14ac:dyDescent="0.3">
      <c r="M387" s="68"/>
    </row>
    <row r="388" spans="13:13" x14ac:dyDescent="0.3">
      <c r="M388" s="68"/>
    </row>
    <row r="389" spans="13:13" x14ac:dyDescent="0.3">
      <c r="M389" s="68"/>
    </row>
    <row r="390" spans="13:13" x14ac:dyDescent="0.3">
      <c r="M390" s="68"/>
    </row>
    <row r="391" spans="13:13" x14ac:dyDescent="0.3">
      <c r="M391" s="68"/>
    </row>
    <row r="392" spans="13:13" x14ac:dyDescent="0.3">
      <c r="M392" s="68"/>
    </row>
    <row r="393" spans="13:13" x14ac:dyDescent="0.3">
      <c r="M393" s="68"/>
    </row>
    <row r="394" spans="13:13" x14ac:dyDescent="0.3">
      <c r="M394" s="68"/>
    </row>
    <row r="395" spans="13:13" x14ac:dyDescent="0.3">
      <c r="M395" s="68"/>
    </row>
    <row r="396" spans="13:13" x14ac:dyDescent="0.3">
      <c r="M396" s="68"/>
    </row>
    <row r="397" spans="13:13" x14ac:dyDescent="0.3">
      <c r="M397" s="68"/>
    </row>
    <row r="398" spans="13:13" x14ac:dyDescent="0.3">
      <c r="M398" s="68"/>
    </row>
    <row r="399" spans="13:13" x14ac:dyDescent="0.3">
      <c r="M399" s="68"/>
    </row>
    <row r="400" spans="13:13" x14ac:dyDescent="0.3">
      <c r="M400" s="68"/>
    </row>
    <row r="401" spans="13:13" x14ac:dyDescent="0.3">
      <c r="M401" s="68"/>
    </row>
    <row r="402" spans="13:13" x14ac:dyDescent="0.3">
      <c r="M402" s="68"/>
    </row>
    <row r="403" spans="13:13" x14ac:dyDescent="0.3">
      <c r="M403" s="68"/>
    </row>
    <row r="404" spans="13:13" x14ac:dyDescent="0.3">
      <c r="M404" s="68"/>
    </row>
    <row r="405" spans="13:13" x14ac:dyDescent="0.3">
      <c r="M405" s="68"/>
    </row>
    <row r="406" spans="13:13" x14ac:dyDescent="0.3">
      <c r="M406" s="68"/>
    </row>
    <row r="407" spans="13:13" x14ac:dyDescent="0.3">
      <c r="M407" s="68"/>
    </row>
    <row r="408" spans="13:13" x14ac:dyDescent="0.3">
      <c r="M408" s="68"/>
    </row>
    <row r="409" spans="13:13" x14ac:dyDescent="0.3">
      <c r="M409" s="68"/>
    </row>
    <row r="410" spans="13:13" x14ac:dyDescent="0.3">
      <c r="M410" s="68"/>
    </row>
    <row r="411" spans="13:13" x14ac:dyDescent="0.3">
      <c r="M411" s="68"/>
    </row>
    <row r="412" spans="13:13" x14ac:dyDescent="0.3">
      <c r="M412" s="68"/>
    </row>
    <row r="413" spans="13:13" x14ac:dyDescent="0.3">
      <c r="M413" s="68"/>
    </row>
    <row r="414" spans="13:13" x14ac:dyDescent="0.3">
      <c r="M414" s="68"/>
    </row>
    <row r="415" spans="13:13" x14ac:dyDescent="0.3">
      <c r="M415" s="68"/>
    </row>
    <row r="416" spans="13:13" x14ac:dyDescent="0.3">
      <c r="M416" s="68"/>
    </row>
    <row r="417" spans="13:13" x14ac:dyDescent="0.3">
      <c r="M417" s="68"/>
    </row>
    <row r="418" spans="13:13" x14ac:dyDescent="0.3">
      <c r="M418" s="68"/>
    </row>
    <row r="419" spans="13:13" x14ac:dyDescent="0.3">
      <c r="M419" s="68"/>
    </row>
    <row r="420" spans="13:13" x14ac:dyDescent="0.3">
      <c r="M420" s="68"/>
    </row>
    <row r="421" spans="13:13" x14ac:dyDescent="0.3">
      <c r="M421" s="68"/>
    </row>
    <row r="422" spans="13:13" x14ac:dyDescent="0.3">
      <c r="M422" s="68"/>
    </row>
    <row r="423" spans="13:13" x14ac:dyDescent="0.3">
      <c r="M423" s="68"/>
    </row>
    <row r="424" spans="13:13" x14ac:dyDescent="0.3">
      <c r="M424" s="68"/>
    </row>
    <row r="425" spans="13:13" x14ac:dyDescent="0.3">
      <c r="M425" s="68"/>
    </row>
    <row r="426" spans="13:13" x14ac:dyDescent="0.3">
      <c r="M426" s="68"/>
    </row>
    <row r="427" spans="13:13" x14ac:dyDescent="0.3">
      <c r="M427" s="68"/>
    </row>
    <row r="428" spans="13:13" x14ac:dyDescent="0.3">
      <c r="M428" s="68"/>
    </row>
    <row r="429" spans="13:13" x14ac:dyDescent="0.3">
      <c r="M429" s="68"/>
    </row>
    <row r="430" spans="13:13" x14ac:dyDescent="0.3">
      <c r="M430" s="68"/>
    </row>
    <row r="431" spans="13:13" x14ac:dyDescent="0.3">
      <c r="M431" s="68"/>
    </row>
    <row r="432" spans="13:13" x14ac:dyDescent="0.3">
      <c r="M432" s="68"/>
    </row>
    <row r="433" spans="13:13" x14ac:dyDescent="0.3">
      <c r="M433" s="68"/>
    </row>
    <row r="434" spans="13:13" x14ac:dyDescent="0.3">
      <c r="M434" s="68"/>
    </row>
    <row r="435" spans="13:13" x14ac:dyDescent="0.3">
      <c r="M435" s="68"/>
    </row>
    <row r="436" spans="13:13" x14ac:dyDescent="0.3">
      <c r="M436" s="68"/>
    </row>
    <row r="437" spans="13:13" x14ac:dyDescent="0.3">
      <c r="M437" s="68"/>
    </row>
    <row r="438" spans="13:13" x14ac:dyDescent="0.3">
      <c r="M438" s="68"/>
    </row>
    <row r="439" spans="13:13" x14ac:dyDescent="0.3">
      <c r="M439" s="68"/>
    </row>
    <row r="440" spans="13:13" x14ac:dyDescent="0.3">
      <c r="M440" s="68"/>
    </row>
    <row r="441" spans="13:13" x14ac:dyDescent="0.3">
      <c r="M441" s="68"/>
    </row>
    <row r="442" spans="13:13" x14ac:dyDescent="0.3">
      <c r="M442" s="68"/>
    </row>
    <row r="443" spans="13:13" x14ac:dyDescent="0.3">
      <c r="M443" s="68"/>
    </row>
    <row r="444" spans="13:13" x14ac:dyDescent="0.3">
      <c r="M444" s="68"/>
    </row>
    <row r="445" spans="13:13" x14ac:dyDescent="0.3">
      <c r="M445" s="68"/>
    </row>
    <row r="446" spans="13:13" x14ac:dyDescent="0.3">
      <c r="M446" s="68"/>
    </row>
    <row r="447" spans="13:13" x14ac:dyDescent="0.3">
      <c r="M447" s="68"/>
    </row>
    <row r="448" spans="13:13" x14ac:dyDescent="0.3">
      <c r="M448" s="68"/>
    </row>
    <row r="449" spans="13:13" x14ac:dyDescent="0.3">
      <c r="M449" s="68"/>
    </row>
    <row r="450" spans="13:13" x14ac:dyDescent="0.3">
      <c r="M450" s="68"/>
    </row>
    <row r="451" spans="13:13" x14ac:dyDescent="0.3">
      <c r="M451" s="68"/>
    </row>
    <row r="452" spans="13:13" x14ac:dyDescent="0.3">
      <c r="M452" s="68"/>
    </row>
    <row r="453" spans="13:13" x14ac:dyDescent="0.3">
      <c r="M453" s="68"/>
    </row>
    <row r="454" spans="13:13" x14ac:dyDescent="0.3">
      <c r="M454" s="68"/>
    </row>
    <row r="455" spans="13:13" x14ac:dyDescent="0.3">
      <c r="M455" s="68"/>
    </row>
    <row r="456" spans="13:13" x14ac:dyDescent="0.3">
      <c r="M456" s="68"/>
    </row>
    <row r="457" spans="13:13" x14ac:dyDescent="0.3">
      <c r="M457" s="68"/>
    </row>
    <row r="458" spans="13:13" x14ac:dyDescent="0.3">
      <c r="M458" s="68"/>
    </row>
    <row r="459" spans="13:13" x14ac:dyDescent="0.3">
      <c r="M459" s="68"/>
    </row>
    <row r="460" spans="13:13" x14ac:dyDescent="0.3">
      <c r="M460" s="68"/>
    </row>
    <row r="461" spans="13:13" x14ac:dyDescent="0.3">
      <c r="M461" s="68"/>
    </row>
    <row r="462" spans="13:13" x14ac:dyDescent="0.3">
      <c r="M462" s="68"/>
    </row>
    <row r="463" spans="13:13" x14ac:dyDescent="0.3">
      <c r="M463" s="68"/>
    </row>
    <row r="464" spans="13:13" x14ac:dyDescent="0.3">
      <c r="M464" s="68"/>
    </row>
    <row r="465" spans="13:13" x14ac:dyDescent="0.3">
      <c r="M465" s="68"/>
    </row>
    <row r="466" spans="13:13" x14ac:dyDescent="0.3">
      <c r="M466" s="68"/>
    </row>
    <row r="467" spans="13:13" x14ac:dyDescent="0.3">
      <c r="M467" s="68"/>
    </row>
    <row r="468" spans="13:13" x14ac:dyDescent="0.3">
      <c r="M468" s="68"/>
    </row>
    <row r="469" spans="13:13" x14ac:dyDescent="0.3">
      <c r="M469" s="68"/>
    </row>
    <row r="470" spans="13:13" x14ac:dyDescent="0.3">
      <c r="M470" s="68"/>
    </row>
    <row r="471" spans="13:13" x14ac:dyDescent="0.3">
      <c r="M471" s="68"/>
    </row>
    <row r="472" spans="13:13" x14ac:dyDescent="0.3">
      <c r="M472" s="68"/>
    </row>
    <row r="473" spans="13:13" x14ac:dyDescent="0.3">
      <c r="M473" s="68"/>
    </row>
    <row r="474" spans="13:13" x14ac:dyDescent="0.3">
      <c r="M474" s="68"/>
    </row>
    <row r="475" spans="13:13" x14ac:dyDescent="0.3">
      <c r="M475" s="68"/>
    </row>
    <row r="476" spans="13:13" x14ac:dyDescent="0.3">
      <c r="M476" s="68"/>
    </row>
    <row r="477" spans="13:13" x14ac:dyDescent="0.3">
      <c r="M477" s="68"/>
    </row>
    <row r="478" spans="13:13" x14ac:dyDescent="0.3">
      <c r="M478" s="68"/>
    </row>
    <row r="479" spans="13:13" x14ac:dyDescent="0.3">
      <c r="M479" s="68"/>
    </row>
    <row r="480" spans="13:13" x14ac:dyDescent="0.3">
      <c r="M480" s="68"/>
    </row>
    <row r="481" spans="13:13" x14ac:dyDescent="0.3">
      <c r="M481" s="68"/>
    </row>
    <row r="482" spans="13:13" x14ac:dyDescent="0.3">
      <c r="M482" s="68"/>
    </row>
    <row r="483" spans="13:13" x14ac:dyDescent="0.3">
      <c r="M483" s="68"/>
    </row>
    <row r="484" spans="13:13" x14ac:dyDescent="0.3">
      <c r="M484" s="68"/>
    </row>
    <row r="485" spans="13:13" x14ac:dyDescent="0.3">
      <c r="M485" s="68"/>
    </row>
    <row r="486" spans="13:13" x14ac:dyDescent="0.3">
      <c r="M486" s="68"/>
    </row>
    <row r="487" spans="13:13" x14ac:dyDescent="0.3">
      <c r="M487" s="68"/>
    </row>
    <row r="488" spans="13:13" x14ac:dyDescent="0.3">
      <c r="M488" s="68"/>
    </row>
    <row r="489" spans="13:13" x14ac:dyDescent="0.3">
      <c r="M489" s="68"/>
    </row>
    <row r="490" spans="13:13" x14ac:dyDescent="0.3">
      <c r="M490" s="68"/>
    </row>
    <row r="491" spans="13:13" x14ac:dyDescent="0.3">
      <c r="M491" s="68"/>
    </row>
    <row r="492" spans="13:13" x14ac:dyDescent="0.3">
      <c r="M492" s="68"/>
    </row>
    <row r="493" spans="13:13" x14ac:dyDescent="0.3">
      <c r="M493" s="68"/>
    </row>
    <row r="494" spans="13:13" x14ac:dyDescent="0.3">
      <c r="M494" s="68"/>
    </row>
    <row r="495" spans="13:13" x14ac:dyDescent="0.3">
      <c r="M495" s="68"/>
    </row>
    <row r="496" spans="13:13" x14ac:dyDescent="0.3">
      <c r="M496" s="68"/>
    </row>
    <row r="497" spans="13:13" x14ac:dyDescent="0.3">
      <c r="M497" s="68"/>
    </row>
    <row r="498" spans="13:13" x14ac:dyDescent="0.3">
      <c r="M498" s="68"/>
    </row>
    <row r="499" spans="13:13" x14ac:dyDescent="0.3">
      <c r="M499" s="68"/>
    </row>
    <row r="500" spans="13:13" x14ac:dyDescent="0.3">
      <c r="M500" s="68"/>
    </row>
    <row r="501" spans="13:13" x14ac:dyDescent="0.3">
      <c r="M501" s="68"/>
    </row>
    <row r="502" spans="13:13" x14ac:dyDescent="0.3">
      <c r="M502" s="68"/>
    </row>
    <row r="503" spans="13:13" x14ac:dyDescent="0.3">
      <c r="M503" s="68"/>
    </row>
    <row r="504" spans="13:13" x14ac:dyDescent="0.3">
      <c r="M504" s="68"/>
    </row>
    <row r="505" spans="13:13" x14ac:dyDescent="0.3">
      <c r="M505" s="68"/>
    </row>
    <row r="506" spans="13:13" x14ac:dyDescent="0.3">
      <c r="M506" s="68"/>
    </row>
    <row r="507" spans="13:13" x14ac:dyDescent="0.3">
      <c r="M507" s="68"/>
    </row>
    <row r="508" spans="13:13" x14ac:dyDescent="0.3">
      <c r="M508" s="68"/>
    </row>
    <row r="509" spans="13:13" x14ac:dyDescent="0.3">
      <c r="M509" s="68"/>
    </row>
    <row r="510" spans="13:13" x14ac:dyDescent="0.3">
      <c r="M510" s="68"/>
    </row>
    <row r="511" spans="13:13" x14ac:dyDescent="0.3">
      <c r="M511" s="68"/>
    </row>
    <row r="512" spans="13:13" x14ac:dyDescent="0.3">
      <c r="M512" s="68"/>
    </row>
    <row r="513" spans="13:13" x14ac:dyDescent="0.3">
      <c r="M513" s="68"/>
    </row>
    <row r="514" spans="13:13" x14ac:dyDescent="0.3">
      <c r="M514" s="68"/>
    </row>
    <row r="515" spans="13:13" x14ac:dyDescent="0.3">
      <c r="M515" s="68"/>
    </row>
    <row r="516" spans="13:13" x14ac:dyDescent="0.3">
      <c r="M516" s="68"/>
    </row>
    <row r="517" spans="13:13" x14ac:dyDescent="0.3">
      <c r="M517" s="68"/>
    </row>
    <row r="518" spans="13:13" x14ac:dyDescent="0.3">
      <c r="M518" s="68"/>
    </row>
    <row r="519" spans="13:13" x14ac:dyDescent="0.3">
      <c r="M519" s="68"/>
    </row>
    <row r="520" spans="13:13" x14ac:dyDescent="0.3">
      <c r="M520" s="68"/>
    </row>
    <row r="521" spans="13:13" x14ac:dyDescent="0.3">
      <c r="M521" s="68"/>
    </row>
    <row r="522" spans="13:13" x14ac:dyDescent="0.3">
      <c r="M522" s="68"/>
    </row>
    <row r="523" spans="13:13" x14ac:dyDescent="0.3">
      <c r="M523" s="68"/>
    </row>
    <row r="524" spans="13:13" x14ac:dyDescent="0.3">
      <c r="M524" s="68"/>
    </row>
    <row r="525" spans="13:13" x14ac:dyDescent="0.3">
      <c r="M525" s="68"/>
    </row>
    <row r="526" spans="13:13" x14ac:dyDescent="0.3">
      <c r="M526" s="68"/>
    </row>
    <row r="527" spans="13:13" x14ac:dyDescent="0.3">
      <c r="M527" s="68"/>
    </row>
    <row r="528" spans="13:13" x14ac:dyDescent="0.3">
      <c r="M528" s="68"/>
    </row>
    <row r="529" spans="13:13" x14ac:dyDescent="0.3">
      <c r="M529" s="68"/>
    </row>
    <row r="530" spans="13:13" x14ac:dyDescent="0.3">
      <c r="M530" s="68"/>
    </row>
    <row r="531" spans="13:13" x14ac:dyDescent="0.3">
      <c r="M531" s="68"/>
    </row>
    <row r="532" spans="13:13" x14ac:dyDescent="0.3">
      <c r="M532" s="68"/>
    </row>
    <row r="533" spans="13:13" x14ac:dyDescent="0.3">
      <c r="M533" s="68"/>
    </row>
    <row r="534" spans="13:13" x14ac:dyDescent="0.3">
      <c r="M534" s="68"/>
    </row>
    <row r="535" spans="13:13" x14ac:dyDescent="0.3">
      <c r="M535" s="68"/>
    </row>
    <row r="536" spans="13:13" x14ac:dyDescent="0.3">
      <c r="M536" s="68"/>
    </row>
    <row r="537" spans="13:13" x14ac:dyDescent="0.3">
      <c r="M537" s="68"/>
    </row>
    <row r="538" spans="13:13" x14ac:dyDescent="0.3">
      <c r="M538" s="68"/>
    </row>
    <row r="539" spans="13:13" x14ac:dyDescent="0.3">
      <c r="M539" s="68"/>
    </row>
    <row r="540" spans="13:13" x14ac:dyDescent="0.3">
      <c r="M540" s="68"/>
    </row>
    <row r="541" spans="13:13" x14ac:dyDescent="0.3">
      <c r="M541" s="68"/>
    </row>
    <row r="542" spans="13:13" x14ac:dyDescent="0.3">
      <c r="M542" s="68"/>
    </row>
    <row r="543" spans="13:13" x14ac:dyDescent="0.3">
      <c r="M543" s="68"/>
    </row>
    <row r="544" spans="13:13" x14ac:dyDescent="0.3">
      <c r="M544" s="68"/>
    </row>
    <row r="545" spans="13:13" x14ac:dyDescent="0.3">
      <c r="M545" s="68"/>
    </row>
    <row r="546" spans="13:13" x14ac:dyDescent="0.3">
      <c r="M546" s="68"/>
    </row>
    <row r="547" spans="13:13" x14ac:dyDescent="0.3">
      <c r="M547" s="68"/>
    </row>
    <row r="548" spans="13:13" x14ac:dyDescent="0.3">
      <c r="M548" s="68"/>
    </row>
    <row r="549" spans="13:13" x14ac:dyDescent="0.3">
      <c r="M549" s="68"/>
    </row>
    <row r="550" spans="13:13" x14ac:dyDescent="0.3">
      <c r="M550" s="68"/>
    </row>
    <row r="551" spans="13:13" x14ac:dyDescent="0.3">
      <c r="M551" s="68"/>
    </row>
    <row r="552" spans="13:13" x14ac:dyDescent="0.3">
      <c r="M552" s="68"/>
    </row>
    <row r="553" spans="13:13" x14ac:dyDescent="0.3">
      <c r="M553" s="68"/>
    </row>
    <row r="554" spans="13:13" x14ac:dyDescent="0.3">
      <c r="M554" s="68"/>
    </row>
    <row r="555" spans="13:13" x14ac:dyDescent="0.3">
      <c r="M555" s="68"/>
    </row>
    <row r="556" spans="13:13" x14ac:dyDescent="0.3">
      <c r="M556" s="68"/>
    </row>
    <row r="557" spans="13:13" x14ac:dyDescent="0.3">
      <c r="M557" s="68"/>
    </row>
    <row r="558" spans="13:13" x14ac:dyDescent="0.3">
      <c r="M558" s="68"/>
    </row>
    <row r="559" spans="13:13" x14ac:dyDescent="0.3">
      <c r="M559" s="68"/>
    </row>
    <row r="560" spans="13:13" x14ac:dyDescent="0.3">
      <c r="M560" s="68"/>
    </row>
    <row r="561" spans="13:13" x14ac:dyDescent="0.3">
      <c r="M561" s="68"/>
    </row>
    <row r="562" spans="13:13" x14ac:dyDescent="0.3">
      <c r="M562" s="68"/>
    </row>
    <row r="563" spans="13:13" x14ac:dyDescent="0.3">
      <c r="M563" s="68"/>
    </row>
    <row r="564" spans="13:13" x14ac:dyDescent="0.3">
      <c r="M564" s="68"/>
    </row>
    <row r="565" spans="13:13" x14ac:dyDescent="0.3">
      <c r="M565" s="68"/>
    </row>
    <row r="566" spans="13:13" x14ac:dyDescent="0.3">
      <c r="M566" s="68"/>
    </row>
    <row r="567" spans="13:13" x14ac:dyDescent="0.3">
      <c r="M567" s="68"/>
    </row>
    <row r="568" spans="13:13" x14ac:dyDescent="0.3">
      <c r="M568" s="68"/>
    </row>
    <row r="569" spans="13:13" x14ac:dyDescent="0.3">
      <c r="M569" s="68"/>
    </row>
    <row r="570" spans="13:13" x14ac:dyDescent="0.3">
      <c r="M570" s="68"/>
    </row>
    <row r="571" spans="13:13" x14ac:dyDescent="0.3">
      <c r="M571" s="68"/>
    </row>
    <row r="572" spans="13:13" x14ac:dyDescent="0.3">
      <c r="M572" s="68"/>
    </row>
    <row r="573" spans="13:13" x14ac:dyDescent="0.3">
      <c r="M573" s="68"/>
    </row>
    <row r="574" spans="13:13" x14ac:dyDescent="0.3">
      <c r="M574" s="68"/>
    </row>
    <row r="575" spans="13:13" x14ac:dyDescent="0.3">
      <c r="M575" s="68"/>
    </row>
    <row r="576" spans="13:13" x14ac:dyDescent="0.3">
      <c r="M576" s="68"/>
    </row>
    <row r="577" spans="13:13" x14ac:dyDescent="0.3">
      <c r="M577" s="68"/>
    </row>
    <row r="578" spans="13:13" x14ac:dyDescent="0.3">
      <c r="M578" s="68"/>
    </row>
    <row r="579" spans="13:13" x14ac:dyDescent="0.3">
      <c r="M579" s="68"/>
    </row>
    <row r="580" spans="13:13" x14ac:dyDescent="0.3">
      <c r="M580" s="68"/>
    </row>
    <row r="581" spans="13:13" x14ac:dyDescent="0.3">
      <c r="M581" s="68"/>
    </row>
    <row r="582" spans="13:13" x14ac:dyDescent="0.3">
      <c r="M582" s="68"/>
    </row>
    <row r="583" spans="13:13" x14ac:dyDescent="0.3">
      <c r="M583" s="68"/>
    </row>
    <row r="584" spans="13:13" x14ac:dyDescent="0.3">
      <c r="M584" s="68"/>
    </row>
    <row r="585" spans="13:13" x14ac:dyDescent="0.3">
      <c r="M585" s="68"/>
    </row>
    <row r="586" spans="13:13" x14ac:dyDescent="0.3">
      <c r="M586" s="68"/>
    </row>
    <row r="587" spans="13:13" x14ac:dyDescent="0.3">
      <c r="M587" s="68"/>
    </row>
    <row r="588" spans="13:13" x14ac:dyDescent="0.3">
      <c r="M588" s="68"/>
    </row>
    <row r="589" spans="13:13" x14ac:dyDescent="0.3">
      <c r="M589" s="68"/>
    </row>
    <row r="590" spans="13:13" x14ac:dyDescent="0.3">
      <c r="M590" s="68"/>
    </row>
    <row r="591" spans="13:13" x14ac:dyDescent="0.3">
      <c r="M591" s="68"/>
    </row>
    <row r="592" spans="13:13" x14ac:dyDescent="0.3">
      <c r="M592" s="68"/>
    </row>
    <row r="593" spans="13:13" x14ac:dyDescent="0.3">
      <c r="M593" s="68"/>
    </row>
    <row r="594" spans="13:13" x14ac:dyDescent="0.3">
      <c r="M594" s="68"/>
    </row>
    <row r="595" spans="13:13" x14ac:dyDescent="0.3">
      <c r="M595" s="68"/>
    </row>
    <row r="596" spans="13:13" x14ac:dyDescent="0.3">
      <c r="M596" s="68"/>
    </row>
    <row r="597" spans="13:13" x14ac:dyDescent="0.3">
      <c r="M597" s="68"/>
    </row>
    <row r="598" spans="13:13" x14ac:dyDescent="0.3">
      <c r="M598" s="68"/>
    </row>
    <row r="599" spans="13:13" x14ac:dyDescent="0.3">
      <c r="M599" s="68"/>
    </row>
    <row r="600" spans="13:13" x14ac:dyDescent="0.3">
      <c r="M600" s="68"/>
    </row>
    <row r="601" spans="13:13" x14ac:dyDescent="0.3">
      <c r="M601" s="68"/>
    </row>
    <row r="602" spans="13:13" x14ac:dyDescent="0.3">
      <c r="M602" s="68"/>
    </row>
    <row r="603" spans="13:13" x14ac:dyDescent="0.3">
      <c r="M603" s="68"/>
    </row>
    <row r="604" spans="13:13" x14ac:dyDescent="0.3">
      <c r="M604" s="68"/>
    </row>
    <row r="605" spans="13:13" x14ac:dyDescent="0.3">
      <c r="M605" s="68"/>
    </row>
    <row r="606" spans="13:13" x14ac:dyDescent="0.3">
      <c r="M606" s="68"/>
    </row>
    <row r="607" spans="13:13" x14ac:dyDescent="0.3">
      <c r="M607" s="68"/>
    </row>
    <row r="608" spans="13:13" x14ac:dyDescent="0.3">
      <c r="M608" s="68"/>
    </row>
    <row r="609" spans="13:13" x14ac:dyDescent="0.3">
      <c r="M609" s="68"/>
    </row>
    <row r="610" spans="13:13" x14ac:dyDescent="0.3">
      <c r="M610" s="68"/>
    </row>
    <row r="611" spans="13:13" x14ac:dyDescent="0.3">
      <c r="M611" s="68"/>
    </row>
    <row r="612" spans="13:13" x14ac:dyDescent="0.3">
      <c r="M612" s="68"/>
    </row>
    <row r="613" spans="13:13" x14ac:dyDescent="0.3">
      <c r="M613" s="68"/>
    </row>
    <row r="614" spans="13:13" x14ac:dyDescent="0.3">
      <c r="M614" s="68"/>
    </row>
    <row r="615" spans="13:13" x14ac:dyDescent="0.3">
      <c r="M615" s="68"/>
    </row>
    <row r="616" spans="13:13" x14ac:dyDescent="0.3">
      <c r="M616" s="68"/>
    </row>
    <row r="617" spans="13:13" x14ac:dyDescent="0.3">
      <c r="M617" s="68"/>
    </row>
    <row r="618" spans="13:13" x14ac:dyDescent="0.3">
      <c r="M618" s="68"/>
    </row>
    <row r="619" spans="13:13" x14ac:dyDescent="0.3">
      <c r="M619" s="68"/>
    </row>
    <row r="620" spans="13:13" x14ac:dyDescent="0.3">
      <c r="M620" s="68"/>
    </row>
    <row r="621" spans="13:13" x14ac:dyDescent="0.3">
      <c r="M621" s="68"/>
    </row>
    <row r="622" spans="13:13" x14ac:dyDescent="0.3">
      <c r="M622" s="68"/>
    </row>
    <row r="623" spans="13:13" x14ac:dyDescent="0.3">
      <c r="M623" s="68"/>
    </row>
    <row r="624" spans="13:13" x14ac:dyDescent="0.3">
      <c r="M624" s="68"/>
    </row>
    <row r="625" spans="13:13" x14ac:dyDescent="0.3">
      <c r="M625" s="68"/>
    </row>
    <row r="626" spans="13:13" x14ac:dyDescent="0.3">
      <c r="M626" s="68"/>
    </row>
    <row r="627" spans="13:13" x14ac:dyDescent="0.3">
      <c r="M627" s="68"/>
    </row>
    <row r="628" spans="13:13" x14ac:dyDescent="0.3">
      <c r="M628" s="68"/>
    </row>
    <row r="629" spans="13:13" x14ac:dyDescent="0.3">
      <c r="M629" s="68"/>
    </row>
    <row r="630" spans="13:13" x14ac:dyDescent="0.3">
      <c r="M630" s="68"/>
    </row>
    <row r="631" spans="13:13" x14ac:dyDescent="0.3">
      <c r="M631" s="68"/>
    </row>
    <row r="632" spans="13:13" x14ac:dyDescent="0.3">
      <c r="M632" s="68"/>
    </row>
    <row r="633" spans="13:13" x14ac:dyDescent="0.3">
      <c r="M633" s="68"/>
    </row>
    <row r="634" spans="13:13" x14ac:dyDescent="0.3">
      <c r="M634" s="68"/>
    </row>
    <row r="635" spans="13:13" x14ac:dyDescent="0.3">
      <c r="M635" s="68"/>
    </row>
    <row r="636" spans="13:13" x14ac:dyDescent="0.3">
      <c r="M636" s="68"/>
    </row>
    <row r="637" spans="13:13" x14ac:dyDescent="0.3">
      <c r="M637" s="68"/>
    </row>
    <row r="638" spans="13:13" x14ac:dyDescent="0.3">
      <c r="M638" s="68"/>
    </row>
    <row r="639" spans="13:13" x14ac:dyDescent="0.3">
      <c r="M639" s="68"/>
    </row>
    <row r="640" spans="13:13" x14ac:dyDescent="0.3">
      <c r="M640" s="68"/>
    </row>
    <row r="641" spans="13:13" x14ac:dyDescent="0.3">
      <c r="M641" s="68"/>
    </row>
    <row r="642" spans="13:13" x14ac:dyDescent="0.3">
      <c r="M642" s="68"/>
    </row>
    <row r="643" spans="13:13" x14ac:dyDescent="0.3">
      <c r="M643" s="68"/>
    </row>
    <row r="644" spans="13:13" x14ac:dyDescent="0.3">
      <c r="M644" s="68"/>
    </row>
    <row r="645" spans="13:13" x14ac:dyDescent="0.3">
      <c r="M645" s="68"/>
    </row>
    <row r="646" spans="13:13" x14ac:dyDescent="0.3">
      <c r="M646" s="68"/>
    </row>
    <row r="647" spans="13:13" x14ac:dyDescent="0.3">
      <c r="M647" s="68"/>
    </row>
    <row r="648" spans="13:13" x14ac:dyDescent="0.3">
      <c r="M648" s="68"/>
    </row>
    <row r="649" spans="13:13" x14ac:dyDescent="0.3">
      <c r="M649" s="68"/>
    </row>
    <row r="650" spans="13:13" x14ac:dyDescent="0.3">
      <c r="M650" s="68"/>
    </row>
    <row r="651" spans="13:13" x14ac:dyDescent="0.3">
      <c r="M651" s="68"/>
    </row>
    <row r="652" spans="13:13" x14ac:dyDescent="0.3">
      <c r="M652" s="68"/>
    </row>
    <row r="653" spans="13:13" x14ac:dyDescent="0.3">
      <c r="M653" s="68"/>
    </row>
    <row r="654" spans="13:13" x14ac:dyDescent="0.3">
      <c r="M654" s="68"/>
    </row>
    <row r="655" spans="13:13" x14ac:dyDescent="0.3">
      <c r="M655" s="68"/>
    </row>
    <row r="656" spans="13:13" x14ac:dyDescent="0.3">
      <c r="M656" s="68"/>
    </row>
    <row r="657" spans="13:13" x14ac:dyDescent="0.3">
      <c r="M657" s="68"/>
    </row>
    <row r="658" spans="13:13" x14ac:dyDescent="0.3">
      <c r="M658" s="68"/>
    </row>
    <row r="659" spans="13:13" x14ac:dyDescent="0.3">
      <c r="M659" s="68"/>
    </row>
    <row r="660" spans="13:13" x14ac:dyDescent="0.3">
      <c r="M660" s="68"/>
    </row>
    <row r="661" spans="13:13" x14ac:dyDescent="0.3">
      <c r="M661" s="68"/>
    </row>
    <row r="662" spans="13:13" x14ac:dyDescent="0.3">
      <c r="M662" s="68"/>
    </row>
    <row r="663" spans="13:13" x14ac:dyDescent="0.3">
      <c r="M663" s="68"/>
    </row>
    <row r="664" spans="13:13" x14ac:dyDescent="0.3">
      <c r="M664" s="68"/>
    </row>
    <row r="665" spans="13:13" x14ac:dyDescent="0.3">
      <c r="M665" s="68"/>
    </row>
    <row r="666" spans="13:13" x14ac:dyDescent="0.3">
      <c r="M666" s="68"/>
    </row>
    <row r="667" spans="13:13" x14ac:dyDescent="0.3">
      <c r="M667" s="68"/>
    </row>
    <row r="668" spans="13:13" x14ac:dyDescent="0.3">
      <c r="M668" s="68"/>
    </row>
    <row r="669" spans="13:13" x14ac:dyDescent="0.3">
      <c r="M669" s="68"/>
    </row>
    <row r="670" spans="13:13" x14ac:dyDescent="0.3">
      <c r="M670" s="68"/>
    </row>
    <row r="671" spans="13:13" x14ac:dyDescent="0.3">
      <c r="M671" s="68"/>
    </row>
    <row r="672" spans="13:13" x14ac:dyDescent="0.3">
      <c r="M672" s="68"/>
    </row>
    <row r="673" spans="13:13" x14ac:dyDescent="0.3">
      <c r="M673" s="68"/>
    </row>
    <row r="674" spans="13:13" x14ac:dyDescent="0.3">
      <c r="M674" s="68"/>
    </row>
    <row r="675" spans="13:13" x14ac:dyDescent="0.3">
      <c r="M675" s="68"/>
    </row>
    <row r="676" spans="13:13" x14ac:dyDescent="0.3">
      <c r="M676" s="68"/>
    </row>
    <row r="677" spans="13:13" x14ac:dyDescent="0.3">
      <c r="M677" s="68"/>
    </row>
    <row r="678" spans="13:13" x14ac:dyDescent="0.3">
      <c r="M678" s="68"/>
    </row>
    <row r="679" spans="13:13" x14ac:dyDescent="0.3">
      <c r="M679" s="68"/>
    </row>
    <row r="680" spans="13:13" x14ac:dyDescent="0.3">
      <c r="M680" s="68"/>
    </row>
    <row r="681" spans="13:13" x14ac:dyDescent="0.3">
      <c r="M681" s="68"/>
    </row>
    <row r="682" spans="13:13" x14ac:dyDescent="0.3">
      <c r="M682" s="68"/>
    </row>
    <row r="683" spans="13:13" x14ac:dyDescent="0.3">
      <c r="M683" s="68"/>
    </row>
    <row r="684" spans="13:13" x14ac:dyDescent="0.3">
      <c r="M684" s="68"/>
    </row>
    <row r="685" spans="13:13" x14ac:dyDescent="0.3">
      <c r="M685" s="68"/>
    </row>
    <row r="686" spans="13:13" x14ac:dyDescent="0.3">
      <c r="M686" s="68"/>
    </row>
    <row r="687" spans="13:13" x14ac:dyDescent="0.3">
      <c r="M687" s="68"/>
    </row>
    <row r="688" spans="13:13" x14ac:dyDescent="0.3">
      <c r="M688" s="68"/>
    </row>
    <row r="689" spans="13:13" x14ac:dyDescent="0.3">
      <c r="M689" s="68"/>
    </row>
    <row r="690" spans="13:13" x14ac:dyDescent="0.3">
      <c r="M690" s="68"/>
    </row>
    <row r="691" spans="13:13" x14ac:dyDescent="0.3">
      <c r="M691" s="68"/>
    </row>
    <row r="692" spans="13:13" x14ac:dyDescent="0.3">
      <c r="M692" s="68"/>
    </row>
    <row r="693" spans="13:13" x14ac:dyDescent="0.3">
      <c r="M693" s="68"/>
    </row>
    <row r="694" spans="13:13" x14ac:dyDescent="0.3">
      <c r="M694" s="68"/>
    </row>
    <row r="695" spans="13:13" x14ac:dyDescent="0.3">
      <c r="M695" s="68"/>
    </row>
    <row r="696" spans="13:13" x14ac:dyDescent="0.3">
      <c r="M696" s="68"/>
    </row>
    <row r="697" spans="13:13" x14ac:dyDescent="0.3">
      <c r="M697" s="68"/>
    </row>
    <row r="698" spans="13:13" x14ac:dyDescent="0.3">
      <c r="M698" s="68"/>
    </row>
    <row r="699" spans="13:13" x14ac:dyDescent="0.3">
      <c r="M699" s="68"/>
    </row>
  </sheetData>
  <mergeCells count="5">
    <mergeCell ref="F4:K4"/>
    <mergeCell ref="O4:W4"/>
    <mergeCell ref="Z4:AC4"/>
    <mergeCell ref="Z5:AA5"/>
    <mergeCell ref="AB5:AC5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B2C5C3-61DB-4C19-ABA7-70EEA1E90BEA}">
  <dimension ref="B2:R20"/>
  <sheetViews>
    <sheetView topLeftCell="A4" workbookViewId="0">
      <selection activeCell="M19" sqref="M19"/>
    </sheetView>
  </sheetViews>
  <sheetFormatPr defaultRowHeight="14.4" outlineLevelCol="1" x14ac:dyDescent="0.3"/>
  <cols>
    <col min="1" max="4" width="8.88671875" style="71"/>
    <col min="5" max="6" width="10.6640625" style="71" customWidth="1"/>
    <col min="7" max="8" width="8.88671875" style="71"/>
    <col min="9" max="9" width="11.109375" style="71" customWidth="1"/>
    <col min="10" max="10" width="2.88671875" style="71" customWidth="1"/>
    <col min="11" max="11" width="11.109375" style="71" hidden="1" customWidth="1" outlineLevel="1"/>
    <col min="12" max="12" width="2.6640625" style="71" hidden="1" customWidth="1" outlineLevel="1"/>
    <col min="13" max="13" width="10.109375" style="71" bestFit="1" customWidth="1" collapsed="1"/>
    <col min="14" max="14" width="11.6640625" style="71" customWidth="1"/>
    <col min="15" max="15" width="2.77734375" style="71" customWidth="1"/>
    <col min="16" max="16" width="8.88671875" style="71"/>
    <col min="17" max="17" width="11.44140625" style="71" customWidth="1"/>
    <col min="18" max="16384" width="8.88671875" style="71"/>
  </cols>
  <sheetData>
    <row r="2" spans="2:18" x14ac:dyDescent="0.3">
      <c r="B2" s="66"/>
      <c r="C2" s="66"/>
      <c r="D2" s="66"/>
      <c r="E2" s="66"/>
      <c r="F2" s="66"/>
      <c r="G2" s="66"/>
      <c r="H2" s="66"/>
      <c r="I2" s="66"/>
      <c r="J2" s="66"/>
      <c r="K2" s="66"/>
      <c r="L2" s="66"/>
      <c r="M2" s="66"/>
      <c r="N2" s="66"/>
      <c r="O2" s="66"/>
      <c r="P2" s="66"/>
      <c r="Q2" s="66"/>
      <c r="R2" s="66"/>
    </row>
    <row r="3" spans="2:18" x14ac:dyDescent="0.3">
      <c r="B3" s="66"/>
      <c r="C3" s="69" t="str">
        <f>"Secondary Voltage Power Bill Impacts"&amp;"-"&amp;'CETR Rate'!D3</f>
        <v>Secondary Voltage Power Bill Impacts-Distributed Energy Resources Aggregation &amp; Control Platform</v>
      </c>
      <c r="D3" s="66"/>
      <c r="E3" s="66"/>
      <c r="F3" s="66"/>
      <c r="G3" s="66"/>
      <c r="H3" s="66"/>
      <c r="I3" s="66"/>
      <c r="J3" s="66"/>
      <c r="K3" s="66"/>
      <c r="L3" s="66"/>
      <c r="M3" s="66"/>
      <c r="N3" s="66"/>
      <c r="O3" s="66"/>
      <c r="P3" s="66"/>
      <c r="Q3" s="66"/>
      <c r="R3" s="66"/>
    </row>
    <row r="4" spans="2:18" ht="14.4" customHeight="1" x14ac:dyDescent="0.3">
      <c r="B4" s="66"/>
      <c r="C4" s="233" t="s">
        <v>123</v>
      </c>
      <c r="D4" s="234"/>
      <c r="E4" s="234" t="s">
        <v>136</v>
      </c>
      <c r="F4" s="234" t="s">
        <v>137</v>
      </c>
      <c r="G4" s="234" t="s">
        <v>138</v>
      </c>
      <c r="H4" s="234" t="s">
        <v>139</v>
      </c>
      <c r="I4" s="231" t="s">
        <v>113</v>
      </c>
      <c r="J4" s="231"/>
      <c r="K4" s="231"/>
      <c r="L4" s="231"/>
      <c r="M4" s="231"/>
      <c r="N4" s="231"/>
      <c r="O4" s="231"/>
      <c r="P4" s="231"/>
      <c r="Q4" s="232"/>
      <c r="R4" s="66"/>
    </row>
    <row r="5" spans="2:18" ht="43.2" customHeight="1" x14ac:dyDescent="0.3">
      <c r="B5" s="66"/>
      <c r="C5" s="235"/>
      <c r="D5" s="236"/>
      <c r="E5" s="236"/>
      <c r="F5" s="236"/>
      <c r="G5" s="236"/>
      <c r="H5" s="236"/>
      <c r="I5" s="181"/>
      <c r="J5" s="181"/>
      <c r="K5" s="216" t="s">
        <v>95</v>
      </c>
      <c r="L5" s="181"/>
      <c r="M5" s="237" t="s">
        <v>141</v>
      </c>
      <c r="N5" s="237"/>
      <c r="O5" s="181"/>
      <c r="P5" s="237" t="s">
        <v>142</v>
      </c>
      <c r="Q5" s="238"/>
      <c r="R5" s="66"/>
    </row>
    <row r="6" spans="2:18" ht="28.8" x14ac:dyDescent="0.3">
      <c r="B6" s="66"/>
      <c r="C6" s="235"/>
      <c r="D6" s="236"/>
      <c r="E6" s="236"/>
      <c r="F6" s="236"/>
      <c r="G6" s="236"/>
      <c r="H6" s="236"/>
      <c r="I6" s="181" t="s">
        <v>140</v>
      </c>
      <c r="J6" s="181"/>
      <c r="K6" s="181">
        <v>2024</v>
      </c>
      <c r="L6" s="181"/>
      <c r="M6" s="181">
        <v>2024</v>
      </c>
      <c r="N6" s="181" t="s">
        <v>154</v>
      </c>
      <c r="O6" s="181"/>
      <c r="P6" s="181">
        <v>2024</v>
      </c>
      <c r="Q6" s="142" t="s">
        <v>154</v>
      </c>
      <c r="R6" s="66"/>
    </row>
    <row r="7" spans="2:18" x14ac:dyDescent="0.3">
      <c r="B7" s="66"/>
      <c r="C7" s="133" t="s">
        <v>124</v>
      </c>
      <c r="D7" s="66"/>
      <c r="E7" s="143">
        <v>477</v>
      </c>
      <c r="F7" s="139">
        <v>0.106759176365264</v>
      </c>
      <c r="G7" s="140">
        <v>6.3459119496855347</v>
      </c>
      <c r="H7" s="141">
        <v>52.083857442348005</v>
      </c>
      <c r="I7" s="182">
        <f>((Tariffs!$E$36+(Tariffs!$F$36*'Secondary Voltage Power'!$H7)+(Tariffs!$G$36*'Secondary Voltage Power'!$G7)+(Tariffs!$I$36*'Secondary Voltage Power'!$H7))*(1+Tariffs!$H$36))</f>
        <v>344.0137586148299</v>
      </c>
      <c r="J7" s="182"/>
      <c r="K7" s="182">
        <f>((Tariffs!$E$36+(Tariffs!$F$36*'Secondary Voltage Power'!$H7)+(Tariffs!$G$36*'Secondary Voltage Power'!$G7)+(Tariffs!$I$36*'Secondary Voltage Power'!$H7)+(Tariffs!J$36*'Secondary Voltage Power'!$H7))*(1+Tariffs!$H$36))</f>
        <v>344.02452955654894</v>
      </c>
      <c r="L7" s="182"/>
      <c r="M7" s="182">
        <f>K7-$I7</f>
        <v>1.0770941719044913E-2</v>
      </c>
      <c r="N7" s="183">
        <f t="shared" ref="N7:N18" si="0">SUM(M7:M7)</f>
        <v>1.0770941719044913E-2</v>
      </c>
      <c r="O7" s="182"/>
      <c r="P7" s="262">
        <f t="shared" ref="P7:P18" si="1">K7/$I7-1</f>
        <v>3.1309624831221683E-5</v>
      </c>
      <c r="Q7" s="263">
        <f t="shared" ref="Q7:Q18" si="2">SUM(P7:P7)</f>
        <v>3.1309624831221683E-5</v>
      </c>
      <c r="R7" s="66"/>
    </row>
    <row r="8" spans="2:18" x14ac:dyDescent="0.3">
      <c r="B8" s="66"/>
      <c r="C8" s="133" t="s">
        <v>125</v>
      </c>
      <c r="D8" s="66"/>
      <c r="E8" s="143">
        <v>246</v>
      </c>
      <c r="F8" s="139">
        <v>5.505819158460161E-2</v>
      </c>
      <c r="G8" s="140">
        <v>11.963414634146341</v>
      </c>
      <c r="H8" s="141">
        <v>460.5609756097561</v>
      </c>
      <c r="I8" s="182">
        <f>((Tariffs!$E$36+(Tariffs!$F$36*'Secondary Voltage Power'!$H8)+(Tariffs!$G$36*'Secondary Voltage Power'!$G8)+(Tariffs!$I$36*'Secondary Voltage Power'!$H8))*(1+Tariffs!$H$36))</f>
        <v>801.07518150912256</v>
      </c>
      <c r="J8" s="182"/>
      <c r="K8" s="182">
        <f>((Tariffs!$E$36+(Tariffs!$F$36*'Secondary Voltage Power'!$H8)+(Tariffs!$G$36*'Secondary Voltage Power'!$G8)+(Tariffs!$I$36*'Secondary Voltage Power'!$H8)+(Tariffs!J$36*'Secondary Voltage Power'!$H8))*(1+Tariffs!$H$36))</f>
        <v>801.17042551887869</v>
      </c>
      <c r="L8" s="182"/>
      <c r="M8" s="182">
        <f t="shared" ref="M8:M18" si="3">K8-$I8</f>
        <v>9.5244009756129344E-2</v>
      </c>
      <c r="N8" s="183">
        <f t="shared" si="0"/>
        <v>9.5244009756129344E-2</v>
      </c>
      <c r="O8" s="182"/>
      <c r="P8" s="262">
        <f t="shared" si="1"/>
        <v>1.1889521976793382E-4</v>
      </c>
      <c r="Q8" s="263">
        <f t="shared" si="2"/>
        <v>1.1889521976793382E-4</v>
      </c>
      <c r="R8" s="66"/>
    </row>
    <row r="9" spans="2:18" x14ac:dyDescent="0.3">
      <c r="B9" s="66"/>
      <c r="C9" s="133" t="s">
        <v>126</v>
      </c>
      <c r="D9" s="66"/>
      <c r="E9" s="143">
        <v>482</v>
      </c>
      <c r="F9" s="139">
        <v>0.10787824529991047</v>
      </c>
      <c r="G9" s="140">
        <v>87.448132780082986</v>
      </c>
      <c r="H9" s="141">
        <v>5725.9751037344395</v>
      </c>
      <c r="I9" s="182">
        <f>((Tariffs!$E$36+(Tariffs!$F$36*'Secondary Voltage Power'!$H9)+(Tariffs!$G$36*'Secondary Voltage Power'!$G9)+(Tariffs!$I$36*'Secondary Voltage Power'!$H9))*(1+Tariffs!$H$36))</f>
        <v>6788.1226482292759</v>
      </c>
      <c r="J9" s="182"/>
      <c r="K9" s="182">
        <f>((Tariffs!$E$36+(Tariffs!$F$36*'Secondary Voltage Power'!$H9)+(Tariffs!$G$36*'Secondary Voltage Power'!$G9)+(Tariffs!$I$36*'Secondary Voltage Power'!$H9)+(Tariffs!J$36*'Secondary Voltage Power'!$H9))*(1+Tariffs!$H$36))</f>
        <v>6789.3067798807278</v>
      </c>
      <c r="L9" s="182"/>
      <c r="M9" s="182">
        <f t="shared" si="3"/>
        <v>1.1841316514519349</v>
      </c>
      <c r="N9" s="183">
        <f t="shared" si="0"/>
        <v>1.1841316514519349</v>
      </c>
      <c r="O9" s="182"/>
      <c r="P9" s="262">
        <f t="shared" si="1"/>
        <v>1.7444169954128341E-4</v>
      </c>
      <c r="Q9" s="263">
        <f t="shared" si="2"/>
        <v>1.7444169954128341E-4</v>
      </c>
      <c r="R9" s="66"/>
    </row>
    <row r="10" spans="2:18" x14ac:dyDescent="0.3">
      <c r="B10" s="66"/>
      <c r="C10" s="133" t="s">
        <v>127</v>
      </c>
      <c r="D10" s="66"/>
      <c r="E10" s="143">
        <v>1296</v>
      </c>
      <c r="F10" s="139">
        <v>0.29006266786034018</v>
      </c>
      <c r="G10" s="140">
        <v>17.010030864197532</v>
      </c>
      <c r="H10" s="141">
        <v>2652.662037037037</v>
      </c>
      <c r="I10" s="182">
        <f>((Tariffs!$E$36+(Tariffs!$F$36*'Secondary Voltage Power'!$H10)+(Tariffs!$G$36*'Secondary Voltage Power'!$G10)+(Tariffs!$I$36*'Secondary Voltage Power'!$H10))*(1+Tariffs!$H$36))</f>
        <v>2475.0132793673311</v>
      </c>
      <c r="J10" s="182"/>
      <c r="K10" s="182">
        <f>((Tariffs!$E$36+(Tariffs!$F$36*'Secondary Voltage Power'!$H10)+(Tariffs!$G$36*'Secondary Voltage Power'!$G10)+(Tariffs!$I$36*'Secondary Voltage Power'!$H10)+(Tariffs!J$36*'Secondary Voltage Power'!$H10))*(1+Tariffs!$H$36))</f>
        <v>2475.5618498765898</v>
      </c>
      <c r="L10" s="182"/>
      <c r="M10" s="182">
        <f t="shared" si="3"/>
        <v>0.54857050925875228</v>
      </c>
      <c r="N10" s="183">
        <f t="shared" si="0"/>
        <v>0.54857050925875228</v>
      </c>
      <c r="O10" s="182"/>
      <c r="P10" s="262">
        <f t="shared" si="1"/>
        <v>2.2164346099962096E-4</v>
      </c>
      <c r="Q10" s="263">
        <f t="shared" si="2"/>
        <v>2.2164346099962096E-4</v>
      </c>
      <c r="R10" s="66"/>
    </row>
    <row r="11" spans="2:18" x14ac:dyDescent="0.3">
      <c r="B11" s="66"/>
      <c r="C11" s="133" t="s">
        <v>128</v>
      </c>
      <c r="D11" s="66"/>
      <c r="E11" s="143">
        <v>965</v>
      </c>
      <c r="F11" s="139">
        <v>0.21598030438675023</v>
      </c>
      <c r="G11" s="140">
        <v>25.580310880829014</v>
      </c>
      <c r="H11" s="141">
        <v>6369.8</v>
      </c>
      <c r="I11" s="182">
        <f>((Tariffs!$E$36+(Tariffs!$F$36*'Secondary Voltage Power'!$H11)+(Tariffs!$G$36*'Secondary Voltage Power'!$G11)+(Tariffs!$I$36*'Secondary Voltage Power'!$H11))*(1+Tariffs!$H$36))</f>
        <v>5313.8998315149456</v>
      </c>
      <c r="J11" s="182"/>
      <c r="K11" s="182">
        <f>((Tariffs!$E$36+(Tariffs!$F$36*'Secondary Voltage Power'!$H11)+(Tariffs!$G$36*'Secondary Voltage Power'!$G11)+(Tariffs!$I$36*'Secondary Voltage Power'!$H11)+(Tariffs!J$36*'Secondary Voltage Power'!$H11))*(1+Tariffs!$H$36))</f>
        <v>5315.2171061549461</v>
      </c>
      <c r="L11" s="182"/>
      <c r="M11" s="182">
        <f t="shared" si="3"/>
        <v>1.3172746400005053</v>
      </c>
      <c r="N11" s="183">
        <f t="shared" si="0"/>
        <v>1.3172746400005053</v>
      </c>
      <c r="O11" s="182"/>
      <c r="P11" s="262">
        <f t="shared" si="1"/>
        <v>2.4789226025445643E-4</v>
      </c>
      <c r="Q11" s="263">
        <f t="shared" si="2"/>
        <v>2.4789226025445643E-4</v>
      </c>
      <c r="R11" s="66"/>
    </row>
    <row r="12" spans="2:18" x14ac:dyDescent="0.3">
      <c r="B12" s="66"/>
      <c r="C12" s="133" t="s">
        <v>129</v>
      </c>
      <c r="D12" s="66"/>
      <c r="E12" s="143">
        <v>631</v>
      </c>
      <c r="F12" s="139">
        <v>0.14122649955237243</v>
      </c>
      <c r="G12" s="140">
        <v>37.895404120443743</v>
      </c>
      <c r="H12" s="141">
        <v>13343.638668779715</v>
      </c>
      <c r="I12" s="182">
        <f>((Tariffs!$E$36+(Tariffs!$F$36*'Secondary Voltage Power'!$H12)+(Tariffs!$G$36*'Secondary Voltage Power'!$G12)+(Tariffs!$I$36*'Secondary Voltage Power'!$H12))*(1+Tariffs!$H$36))</f>
        <v>10523.223902886502</v>
      </c>
      <c r="J12" s="182"/>
      <c r="K12" s="182">
        <f>((Tariffs!$E$36+(Tariffs!$F$36*'Secondary Voltage Power'!$H12)+(Tariffs!$G$36*'Secondary Voltage Power'!$G12)+(Tariffs!$I$36*'Secondary Voltage Power'!$H12)+(Tariffs!J$36*'Secondary Voltage Power'!$H12))*(1+Tariffs!$H$36))</f>
        <v>10525.983367363204</v>
      </c>
      <c r="L12" s="182"/>
      <c r="M12" s="182">
        <f t="shared" si="3"/>
        <v>2.7594644767013961</v>
      </c>
      <c r="N12" s="183">
        <f t="shared" si="0"/>
        <v>2.7594644767013961</v>
      </c>
      <c r="O12" s="182"/>
      <c r="P12" s="262">
        <f t="shared" si="1"/>
        <v>2.6222614877036143E-4</v>
      </c>
      <c r="Q12" s="263">
        <f t="shared" si="2"/>
        <v>2.6222614877036143E-4</v>
      </c>
      <c r="R12" s="66"/>
    </row>
    <row r="13" spans="2:18" x14ac:dyDescent="0.3">
      <c r="B13" s="66"/>
      <c r="C13" s="133" t="s">
        <v>130</v>
      </c>
      <c r="D13" s="66"/>
      <c r="E13" s="143">
        <v>278</v>
      </c>
      <c r="F13" s="139">
        <v>6.222023276633841E-2</v>
      </c>
      <c r="G13" s="140">
        <v>47.31654676258993</v>
      </c>
      <c r="H13" s="141">
        <v>20775.244604316547</v>
      </c>
      <c r="I13" s="182">
        <f>((Tariffs!$E$36+(Tariffs!$F$36*'Secondary Voltage Power'!$H13)+(Tariffs!$G$36*'Secondary Voltage Power'!$G13)+(Tariffs!$I$36*'Secondary Voltage Power'!$H13))*(1+Tariffs!$H$36))</f>
        <v>15959.601857428506</v>
      </c>
      <c r="J13" s="182"/>
      <c r="K13" s="182">
        <f>((Tariffs!$E$36+(Tariffs!$F$36*'Secondary Voltage Power'!$H13)+(Tariffs!$G$36*'Secondary Voltage Power'!$G13)+(Tariffs!$I$36*'Secondary Voltage Power'!$H13)+(Tariffs!J$36*'Secondary Voltage Power'!$H13))*(1+Tariffs!$H$36))</f>
        <v>15963.89817801268</v>
      </c>
      <c r="L13" s="182"/>
      <c r="M13" s="182">
        <f t="shared" si="3"/>
        <v>4.2963205841733725</v>
      </c>
      <c r="N13" s="183">
        <f t="shared" si="0"/>
        <v>4.2963205841733725</v>
      </c>
      <c r="O13" s="182"/>
      <c r="P13" s="262">
        <f t="shared" si="1"/>
        <v>2.6919973458938706E-4</v>
      </c>
      <c r="Q13" s="263">
        <f t="shared" si="2"/>
        <v>2.6919973458938706E-4</v>
      </c>
      <c r="R13" s="66"/>
    </row>
    <row r="14" spans="2:18" x14ac:dyDescent="0.3">
      <c r="B14" s="66"/>
      <c r="C14" s="133" t="s">
        <v>131</v>
      </c>
      <c r="D14" s="66"/>
      <c r="E14" s="143">
        <v>57</v>
      </c>
      <c r="F14" s="139">
        <v>1.2757385854968667E-2</v>
      </c>
      <c r="G14" s="140">
        <v>44.789473684210527</v>
      </c>
      <c r="H14" s="141">
        <v>24059.964912280702</v>
      </c>
      <c r="I14" s="182">
        <f>((Tariffs!$E$36+(Tariffs!$F$36*'Secondary Voltage Power'!$H14)+(Tariffs!$G$36*'Secondary Voltage Power'!$G14)+(Tariffs!$I$36*'Secondary Voltage Power'!$H14))*(1+Tariffs!$H$36))</f>
        <v>18154.806431483434</v>
      </c>
      <c r="J14" s="182"/>
      <c r="K14" s="182">
        <f>((Tariffs!$E$36+(Tariffs!$F$36*'Secondary Voltage Power'!$H14)+(Tariffs!$G$36*'Secondary Voltage Power'!$G14)+(Tariffs!$I$36*'Secondary Voltage Power'!$H14)+(Tariffs!J$36*'Secondary Voltage Power'!$H14))*(1+Tariffs!$H$36))</f>
        <v>18159.782032227293</v>
      </c>
      <c r="L14" s="182"/>
      <c r="M14" s="182">
        <f t="shared" si="3"/>
        <v>4.9756007438591041</v>
      </c>
      <c r="N14" s="183">
        <f t="shared" si="0"/>
        <v>4.9756007438591041</v>
      </c>
      <c r="O14" s="182"/>
      <c r="P14" s="262">
        <f t="shared" si="1"/>
        <v>2.7406520486117358E-4</v>
      </c>
      <c r="Q14" s="263">
        <f t="shared" si="2"/>
        <v>2.7406520486117358E-4</v>
      </c>
      <c r="R14" s="66"/>
    </row>
    <row r="15" spans="2:18" x14ac:dyDescent="0.3">
      <c r="B15" s="66"/>
      <c r="C15" s="133" t="s">
        <v>132</v>
      </c>
      <c r="D15" s="66"/>
      <c r="E15" s="143">
        <v>30</v>
      </c>
      <c r="F15" s="139">
        <v>6.7144136078782449E-3</v>
      </c>
      <c r="G15" s="140">
        <v>30.9</v>
      </c>
      <c r="H15" s="141">
        <v>19732.066666666666</v>
      </c>
      <c r="I15" s="182">
        <f>((Tariffs!$E$36+(Tariffs!$F$36*'Secondary Voltage Power'!$H15)+(Tariffs!$G$36*'Secondary Voltage Power'!$G15)+(Tariffs!$I$36*'Secondary Voltage Power'!$H15))*(1+Tariffs!$H$36))</f>
        <v>14728.098754120343</v>
      </c>
      <c r="J15" s="182"/>
      <c r="K15" s="182">
        <f>((Tariffs!$E$36+(Tariffs!$F$36*'Secondary Voltage Power'!$H15)+(Tariffs!$G$36*'Secondary Voltage Power'!$G15)+(Tariffs!$I$36*'Secondary Voltage Power'!$H15)+(Tariffs!J$36*'Secondary Voltage Power'!$H15))*(1+Tariffs!$H$36))</f>
        <v>14732.179345507011</v>
      </c>
      <c r="L15" s="182"/>
      <c r="M15" s="182">
        <f t="shared" si="3"/>
        <v>4.0805913866679475</v>
      </c>
      <c r="N15" s="183">
        <f t="shared" si="0"/>
        <v>4.0805913866679475</v>
      </c>
      <c r="O15" s="182"/>
      <c r="P15" s="262">
        <f t="shared" si="1"/>
        <v>2.7706165302054941E-4</v>
      </c>
      <c r="Q15" s="263">
        <f t="shared" si="2"/>
        <v>2.7706165302054941E-4</v>
      </c>
      <c r="R15" s="66"/>
    </row>
    <row r="16" spans="2:18" x14ac:dyDescent="0.3">
      <c r="B16" s="66"/>
      <c r="C16" s="133" t="s">
        <v>133</v>
      </c>
      <c r="D16" s="66"/>
      <c r="E16" s="143">
        <v>4</v>
      </c>
      <c r="F16" s="139">
        <v>8.9525514771709937E-4</v>
      </c>
      <c r="G16" s="140">
        <v>12</v>
      </c>
      <c r="H16" s="141">
        <v>8611</v>
      </c>
      <c r="I16" s="182">
        <f>((Tariffs!$E$36+(Tariffs!$F$36*'Secondary Voltage Power'!$H16)+(Tariffs!$G$36*'Secondary Voltage Power'!$G16)+(Tariffs!$I$36*'Secondary Voltage Power'!$H16))*(1+Tariffs!$H$36))</f>
        <v>6443.7971825373224</v>
      </c>
      <c r="J16" s="182"/>
      <c r="K16" s="182">
        <f>((Tariffs!$E$36+(Tariffs!$F$36*'Secondary Voltage Power'!$H16)+(Tariffs!$G$36*'Secondary Voltage Power'!$G16)+(Tariffs!$I$36*'Secondary Voltage Power'!$H16)+(Tariffs!J$36*'Secondary Voltage Power'!$H16))*(1+Tariffs!$H$36))</f>
        <v>6445.5779373373216</v>
      </c>
      <c r="L16" s="182"/>
      <c r="M16" s="182">
        <f t="shared" si="3"/>
        <v>1.7807547999991584</v>
      </c>
      <c r="N16" s="183">
        <f t="shared" si="0"/>
        <v>1.7807547999991584</v>
      </c>
      <c r="O16" s="182"/>
      <c r="P16" s="262">
        <f t="shared" si="1"/>
        <v>2.7635177668616784E-4</v>
      </c>
      <c r="Q16" s="263">
        <f t="shared" si="2"/>
        <v>2.7635177668616784E-4</v>
      </c>
      <c r="R16" s="66"/>
    </row>
    <row r="17" spans="2:18" x14ac:dyDescent="0.3">
      <c r="B17" s="66"/>
      <c r="C17" s="133" t="s">
        <v>134</v>
      </c>
      <c r="D17" s="66"/>
      <c r="E17" s="143">
        <v>1</v>
      </c>
      <c r="F17" s="139">
        <v>2.2381378692927484E-4</v>
      </c>
      <c r="G17" s="140">
        <v>5</v>
      </c>
      <c r="H17" s="141">
        <v>4221</v>
      </c>
      <c r="I17" s="182">
        <f>((Tariffs!$E$36+(Tariffs!$F$36*'Secondary Voltage Power'!$H17)+(Tariffs!$G$36*'Secondary Voltage Power'!$G17)+(Tariffs!$I$36*'Secondary Voltage Power'!$H17))*(1+Tariffs!$H$36))</f>
        <v>3187.8962173661639</v>
      </c>
      <c r="J17" s="182"/>
      <c r="K17" s="182">
        <f>((Tariffs!$E$36+(Tariffs!$F$36*'Secondary Voltage Power'!$H17)+(Tariffs!$G$36*'Secondary Voltage Power'!$G17)+(Tariffs!$I$36*'Secondary Voltage Power'!$H17)+(Tariffs!J$36*'Secondary Voltage Power'!$H17))*(1+Tariffs!$H$36))</f>
        <v>3188.7691201661642</v>
      </c>
      <c r="L17" s="182"/>
      <c r="M17" s="182">
        <f t="shared" si="3"/>
        <v>0.87290280000024723</v>
      </c>
      <c r="N17" s="183">
        <f t="shared" si="0"/>
        <v>0.87290280000024723</v>
      </c>
      <c r="O17" s="182"/>
      <c r="P17" s="262">
        <f t="shared" si="1"/>
        <v>2.7381782231339358E-4</v>
      </c>
      <c r="Q17" s="263">
        <f t="shared" si="2"/>
        <v>2.7381782231339358E-4</v>
      </c>
      <c r="R17" s="66"/>
    </row>
    <row r="18" spans="2:18" x14ac:dyDescent="0.3">
      <c r="B18" s="66"/>
      <c r="C18" s="149" t="s">
        <v>135</v>
      </c>
      <c r="D18" s="137"/>
      <c r="E18" s="144">
        <v>1</v>
      </c>
      <c r="F18" s="145">
        <v>2.2381378692927484E-4</v>
      </c>
      <c r="G18" s="146">
        <v>5</v>
      </c>
      <c r="H18" s="147">
        <v>4668</v>
      </c>
      <c r="I18" s="148">
        <f>((Tariffs!$E$36+(Tariffs!$F$36*'Secondary Voltage Power'!$H18)+(Tariffs!$G$36*'Secondary Voltage Power'!$G18)+(Tariffs!$I$36*'Secondary Voltage Power'!$H18))*(1+Tariffs!$H$36))</f>
        <v>3497.3015444006755</v>
      </c>
      <c r="J18" s="148"/>
      <c r="K18" s="148">
        <f>((Tariffs!$E$36+(Tariffs!$F$36*'Secondary Voltage Power'!$H18)+(Tariffs!$G$36*'Secondary Voltage Power'!$G18)+(Tariffs!$I$36*'Secondary Voltage Power'!$H18)+(Tariffs!J$36*'Secondary Voltage Power'!$H18))*(1+Tariffs!$H$36))</f>
        <v>3498.2668868006754</v>
      </c>
      <c r="L18" s="148"/>
      <c r="M18" s="148">
        <f t="shared" si="3"/>
        <v>0.96534239999982674</v>
      </c>
      <c r="N18" s="184">
        <f t="shared" si="0"/>
        <v>0.96534239999982674</v>
      </c>
      <c r="O18" s="148"/>
      <c r="P18" s="264">
        <f t="shared" si="1"/>
        <v>2.7602492600209416E-4</v>
      </c>
      <c r="Q18" s="265">
        <f t="shared" si="2"/>
        <v>2.7602492600209416E-4</v>
      </c>
      <c r="R18" s="66"/>
    </row>
    <row r="19" spans="2:18" x14ac:dyDescent="0.3">
      <c r="B19" s="66"/>
      <c r="C19" s="66"/>
      <c r="D19" s="66"/>
      <c r="E19" s="66"/>
      <c r="F19" s="66"/>
      <c r="G19" s="66"/>
      <c r="H19" s="66"/>
      <c r="I19" s="66"/>
      <c r="J19" s="66"/>
      <c r="K19" s="66"/>
      <c r="L19" s="66"/>
      <c r="M19" s="66"/>
      <c r="N19" s="66"/>
      <c r="O19" s="66"/>
      <c r="P19" s="66"/>
      <c r="Q19" s="111"/>
      <c r="R19" s="66"/>
    </row>
    <row r="20" spans="2:18" x14ac:dyDescent="0.3">
      <c r="B20" s="66"/>
      <c r="C20" s="66"/>
      <c r="D20" s="66"/>
      <c r="E20" s="66"/>
      <c r="F20" s="66"/>
      <c r="G20" s="66"/>
      <c r="H20" s="66"/>
      <c r="I20" s="66"/>
      <c r="J20" s="66"/>
      <c r="K20" s="66"/>
      <c r="L20" s="66"/>
      <c r="M20" s="66"/>
      <c r="N20" s="66"/>
      <c r="O20" s="66"/>
      <c r="P20" s="66"/>
      <c r="Q20" s="66"/>
      <c r="R20" s="66"/>
    </row>
  </sheetData>
  <mergeCells count="8">
    <mergeCell ref="I4:Q4"/>
    <mergeCell ref="C4:D6"/>
    <mergeCell ref="E4:E6"/>
    <mergeCell ref="F4:F6"/>
    <mergeCell ref="G4:G6"/>
    <mergeCell ref="H4:H6"/>
    <mergeCell ref="M5:N5"/>
    <mergeCell ref="P5:Q5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B08164-F7D7-4C8D-A0EF-3C99022DA5C8}">
  <dimension ref="B2:P18"/>
  <sheetViews>
    <sheetView workbookViewId="0">
      <selection activeCell="N7" sqref="N7:O16"/>
    </sheetView>
  </sheetViews>
  <sheetFormatPr defaultRowHeight="14.4" outlineLevelCol="1" x14ac:dyDescent="0.3"/>
  <cols>
    <col min="1" max="2" width="8.88671875" style="71"/>
    <col min="3" max="3" width="16.77734375" style="71" bestFit="1" customWidth="1"/>
    <col min="4" max="5" width="10.21875" style="71" customWidth="1"/>
    <col min="6" max="8" width="8.88671875" style="71"/>
    <col min="9" max="9" width="8.88671875" style="71" hidden="1" customWidth="1" outlineLevel="1"/>
    <col min="10" max="10" width="2.88671875" style="71" hidden="1" customWidth="1" outlineLevel="1"/>
    <col min="11" max="11" width="8.88671875" style="71" collapsed="1"/>
    <col min="12" max="12" width="11.77734375" style="71" customWidth="1"/>
    <col min="13" max="13" width="3.109375" style="71" customWidth="1"/>
    <col min="14" max="14" width="8.88671875" style="71"/>
    <col min="15" max="15" width="13.33203125" style="71" customWidth="1"/>
    <col min="16" max="16384" width="8.88671875" style="71"/>
  </cols>
  <sheetData>
    <row r="2" spans="2:16" x14ac:dyDescent="0.3">
      <c r="B2" s="66"/>
      <c r="C2" s="66"/>
      <c r="D2" s="66"/>
      <c r="E2" s="66"/>
      <c r="F2" s="66"/>
      <c r="G2" s="66"/>
      <c r="H2" s="66"/>
      <c r="I2" s="66"/>
      <c r="J2" s="66"/>
      <c r="K2" s="66"/>
      <c r="L2" s="66"/>
      <c r="M2" s="66"/>
      <c r="N2" s="66"/>
      <c r="O2" s="66"/>
      <c r="P2" s="66"/>
    </row>
    <row r="3" spans="2:16" ht="15" thickBot="1" x14ac:dyDescent="0.35">
      <c r="B3" s="66"/>
      <c r="C3" s="69" t="str">
        <f>"Large Power Bill Impacts"&amp;"-"&amp;'CETR Rate'!D3</f>
        <v>Large Power Bill Impacts-Distributed Energy Resources Aggregation &amp; Control Platform</v>
      </c>
      <c r="D3" s="66"/>
      <c r="E3" s="66"/>
      <c r="F3" s="66"/>
      <c r="G3" s="66"/>
      <c r="H3" s="66"/>
      <c r="I3" s="66"/>
      <c r="J3" s="66"/>
      <c r="K3" s="66"/>
      <c r="L3" s="66"/>
      <c r="M3" s="66"/>
      <c r="N3" s="66"/>
      <c r="O3" s="66"/>
      <c r="P3" s="66"/>
    </row>
    <row r="4" spans="2:16" ht="14.4" customHeight="1" x14ac:dyDescent="0.3">
      <c r="B4" s="66"/>
      <c r="C4" s="241" t="s">
        <v>123</v>
      </c>
      <c r="D4" s="239" t="s">
        <v>136</v>
      </c>
      <c r="E4" s="239" t="s">
        <v>137</v>
      </c>
      <c r="F4" s="239" t="s">
        <v>138</v>
      </c>
      <c r="G4" s="239" t="s">
        <v>139</v>
      </c>
      <c r="H4" s="187"/>
      <c r="I4" s="187" t="s">
        <v>113</v>
      </c>
      <c r="J4" s="187"/>
      <c r="K4" s="239" t="s">
        <v>113</v>
      </c>
      <c r="L4" s="239"/>
      <c r="M4" s="239"/>
      <c r="N4" s="239"/>
      <c r="O4" s="240"/>
      <c r="P4" s="66"/>
    </row>
    <row r="5" spans="2:16" ht="14.4" customHeight="1" x14ac:dyDescent="0.3">
      <c r="B5" s="66"/>
      <c r="C5" s="242"/>
      <c r="D5" s="243"/>
      <c r="E5" s="243"/>
      <c r="F5" s="243"/>
      <c r="G5" s="243"/>
      <c r="H5" s="186"/>
      <c r="I5" s="217" t="s">
        <v>95</v>
      </c>
      <c r="J5" s="186"/>
      <c r="K5" s="244" t="s">
        <v>141</v>
      </c>
      <c r="L5" s="244"/>
      <c r="M5" s="185"/>
      <c r="N5" s="244" t="s">
        <v>142</v>
      </c>
      <c r="O5" s="245"/>
      <c r="P5" s="66"/>
    </row>
    <row r="6" spans="2:16" ht="28.8" x14ac:dyDescent="0.3">
      <c r="B6" s="66"/>
      <c r="C6" s="242"/>
      <c r="D6" s="243"/>
      <c r="E6" s="243"/>
      <c r="F6" s="243"/>
      <c r="G6" s="243"/>
      <c r="H6" s="185" t="s">
        <v>140</v>
      </c>
      <c r="I6" s="185">
        <v>2024</v>
      </c>
      <c r="J6" s="185"/>
      <c r="K6" s="185">
        <v>2024</v>
      </c>
      <c r="L6" s="185" t="s">
        <v>154</v>
      </c>
      <c r="M6" s="185"/>
      <c r="N6" s="185">
        <v>2024</v>
      </c>
      <c r="O6" s="188" t="s">
        <v>154</v>
      </c>
      <c r="P6" s="66"/>
    </row>
    <row r="7" spans="2:16" x14ac:dyDescent="0.3">
      <c r="B7" s="66"/>
      <c r="C7" s="138" t="s">
        <v>124</v>
      </c>
      <c r="D7" s="140">
        <v>6</v>
      </c>
      <c r="E7" s="139">
        <v>4.4444444444444446E-2</v>
      </c>
      <c r="F7" s="140">
        <v>50</v>
      </c>
      <c r="G7" s="141">
        <v>560.5</v>
      </c>
      <c r="H7" s="189">
        <f>(Tariffs!$E$37+($G7*Tariffs!$F$37)+('Large Power'!$F7*Tariffs!$G$37)+('Large Power'!$G7*Tariffs!$I$36))*(1+Tariffs!$H$36)</f>
        <v>3107.1876396875709</v>
      </c>
      <c r="I7" s="189">
        <f>(Tariffs!$E$37+($G7*Tariffs!$F$37)+('Large Power'!$F7*Tariffs!$G$37)+('Large Power'!$G7*Tariffs!$I$36)+($G7*Tariffs!J$37))*(1+Tariffs!$H$36)</f>
        <v>3107.3022339125705</v>
      </c>
      <c r="J7" s="189"/>
      <c r="K7" s="189">
        <f>I7-$H7</f>
        <v>0.11459422499956418</v>
      </c>
      <c r="L7" s="189">
        <f t="shared" ref="L7:L16" si="0">SUM(K7:K7)</f>
        <v>0.11459422499956418</v>
      </c>
      <c r="M7" s="189"/>
      <c r="N7" s="262">
        <f t="shared" ref="N7:N16" si="1">I7/$H7-1</f>
        <v>3.6880368451397416E-5</v>
      </c>
      <c r="O7" s="274">
        <f t="shared" ref="O7:O16" si="2">SUM(N7:N7)</f>
        <v>3.6880368451397416E-5</v>
      </c>
      <c r="P7" s="66"/>
    </row>
    <row r="8" spans="2:16" x14ac:dyDescent="0.3">
      <c r="B8" s="66"/>
      <c r="C8" s="138" t="s">
        <v>125</v>
      </c>
      <c r="D8" s="140">
        <v>5</v>
      </c>
      <c r="E8" s="139">
        <v>3.7037037037037035E-2</v>
      </c>
      <c r="F8" s="140">
        <v>51.6</v>
      </c>
      <c r="G8" s="141">
        <v>1538.6</v>
      </c>
      <c r="H8" s="189">
        <f>(Tariffs!$E$37+($G8*Tariffs!$F$37)+('Large Power'!$F8*Tariffs!$G$37)+('Large Power'!$G8*Tariffs!$I$36))*(1+Tariffs!$H$36)</f>
        <v>3812.0581773832218</v>
      </c>
      <c r="I8" s="189">
        <f>(Tariffs!$E$37+($G8*Tariffs!$F$37)+('Large Power'!$F8*Tariffs!$G$37)+('Large Power'!$G8*Tariffs!$I$36)+($G8*Tariffs!J$37))*(1+Tariffs!$H$36)</f>
        <v>3812.3727441532219</v>
      </c>
      <c r="J8" s="189"/>
      <c r="K8" s="189">
        <f t="shared" ref="K8:K16" si="3">I8-$H8</f>
        <v>0.31456677000005584</v>
      </c>
      <c r="L8" s="189">
        <f t="shared" si="0"/>
        <v>0.31456677000005584</v>
      </c>
      <c r="M8" s="189"/>
      <c r="N8" s="262">
        <f t="shared" si="1"/>
        <v>8.2518879660931077E-5</v>
      </c>
      <c r="O8" s="274">
        <f t="shared" si="2"/>
        <v>8.2518879660931077E-5</v>
      </c>
      <c r="P8" s="66"/>
    </row>
    <row r="9" spans="2:16" x14ac:dyDescent="0.3">
      <c r="B9" s="66"/>
      <c r="C9" s="138" t="s">
        <v>126</v>
      </c>
      <c r="D9" s="140">
        <v>13</v>
      </c>
      <c r="E9" s="139">
        <v>9.6296296296296297E-2</v>
      </c>
      <c r="F9" s="140">
        <v>213.92307692307693</v>
      </c>
      <c r="G9" s="141">
        <v>15543.615384615385</v>
      </c>
      <c r="H9" s="189">
        <f>(Tariffs!$E$37+($G9*Tariffs!$F$37)+('Large Power'!$F9*Tariffs!$G$37)+('Large Power'!$G9*Tariffs!$I$36))*(1+Tariffs!$H$36)</f>
        <v>18434.17700224707</v>
      </c>
      <c r="I9" s="189">
        <f>(Tariffs!$E$37+($G9*Tariffs!$F$37)+('Large Power'!$F9*Tariffs!$G$37)+('Large Power'!$G9*Tariffs!$I$36)+($G9*Tariffs!J$37))*(1+Tariffs!$H$36)</f>
        <v>18437.354894412456</v>
      </c>
      <c r="J9" s="189"/>
      <c r="K9" s="189">
        <f t="shared" si="3"/>
        <v>3.1778921653858561</v>
      </c>
      <c r="L9" s="189">
        <f t="shared" si="0"/>
        <v>3.1778921653858561</v>
      </c>
      <c r="M9" s="189"/>
      <c r="N9" s="262">
        <f t="shared" si="1"/>
        <v>1.7239132319279982E-4</v>
      </c>
      <c r="O9" s="274">
        <f t="shared" si="2"/>
        <v>1.7239132319279982E-4</v>
      </c>
      <c r="P9" s="66"/>
    </row>
    <row r="10" spans="2:16" x14ac:dyDescent="0.3">
      <c r="B10" s="66"/>
      <c r="C10" s="138" t="s">
        <v>127</v>
      </c>
      <c r="D10" s="140">
        <v>13</v>
      </c>
      <c r="E10" s="139">
        <v>9.6296296296296297E-2</v>
      </c>
      <c r="F10" s="140">
        <v>184.46153846153845</v>
      </c>
      <c r="G10" s="141">
        <v>29854.692307692309</v>
      </c>
      <c r="H10" s="189">
        <f>(Tariffs!$E$37+($G10*Tariffs!$F$37)+('Large Power'!$F10*Tariffs!$G$37)+('Large Power'!$G10*Tariffs!$I$36))*(1+Tariffs!$H$36)</f>
        <v>27029.751604924535</v>
      </c>
      <c r="I10" s="189">
        <f>(Tariffs!$E$37+($G10*Tariffs!$F$37)+('Large Power'!$F10*Tariffs!$G$37)+('Large Power'!$G10*Tariffs!$I$36)+($G10*Tariffs!J$37))*(1+Tariffs!$H$36)</f>
        <v>27035.855396766841</v>
      </c>
      <c r="J10" s="189"/>
      <c r="K10" s="189">
        <f t="shared" si="3"/>
        <v>6.1037918423062365</v>
      </c>
      <c r="L10" s="189">
        <f t="shared" si="0"/>
        <v>6.1037918423062365</v>
      </c>
      <c r="M10" s="189"/>
      <c r="N10" s="262">
        <f t="shared" si="1"/>
        <v>2.2581753363937196E-4</v>
      </c>
      <c r="O10" s="274">
        <f t="shared" si="2"/>
        <v>2.2581753363937196E-4</v>
      </c>
      <c r="P10" s="66"/>
    </row>
    <row r="11" spans="2:16" x14ac:dyDescent="0.3">
      <c r="B11" s="66"/>
      <c r="C11" s="138" t="s">
        <v>128</v>
      </c>
      <c r="D11" s="140">
        <v>23</v>
      </c>
      <c r="E11" s="139">
        <v>0.17037037037037037</v>
      </c>
      <c r="F11" s="140">
        <v>268.13043478260869</v>
      </c>
      <c r="G11" s="141">
        <v>68847.304347826081</v>
      </c>
      <c r="H11" s="189">
        <f>(Tariffs!$E$37+($G11*Tariffs!$F$37)+('Large Power'!$F11*Tariffs!$G$37)+('Large Power'!$G11*Tariffs!$I$36))*(1+Tariffs!$H$36)</f>
        <v>55775.888593101379</v>
      </c>
      <c r="I11" s="189">
        <f>(Tariffs!$E$37+($G11*Tariffs!$F$37)+('Large Power'!$F11*Tariffs!$G$37)+('Large Power'!$G11*Tariffs!$I$36)+($G11*Tariffs!J$37))*(1+Tariffs!$H$36)</f>
        <v>55789.964424475293</v>
      </c>
      <c r="J11" s="189"/>
      <c r="K11" s="189">
        <f t="shared" si="3"/>
        <v>14.075831373913388</v>
      </c>
      <c r="L11" s="189">
        <f t="shared" si="0"/>
        <v>14.075831373913388</v>
      </c>
      <c r="M11" s="189"/>
      <c r="N11" s="262">
        <f t="shared" si="1"/>
        <v>2.5236409009266048E-4</v>
      </c>
      <c r="O11" s="274">
        <f t="shared" si="2"/>
        <v>2.5236409009266048E-4</v>
      </c>
      <c r="P11" s="66"/>
    </row>
    <row r="12" spans="2:16" x14ac:dyDescent="0.3">
      <c r="B12" s="66"/>
      <c r="C12" s="138" t="s">
        <v>129</v>
      </c>
      <c r="D12" s="140">
        <v>35</v>
      </c>
      <c r="E12" s="139">
        <v>0.25925925925925924</v>
      </c>
      <c r="F12" s="140">
        <v>363.77142857142854</v>
      </c>
      <c r="G12" s="141">
        <v>127510.6</v>
      </c>
      <c r="H12" s="189">
        <f>(Tariffs!$E$37+($G12*Tariffs!$F$37)+('Large Power'!$F12*Tariffs!$G$37)+('Large Power'!$G12*Tariffs!$I$36))*(1+Tariffs!$H$36)</f>
        <v>98041.301882062296</v>
      </c>
      <c r="I12" s="189">
        <f>(Tariffs!$E$37+($G12*Tariffs!$F$37)+('Large Power'!$F12*Tariffs!$G$37)+('Large Power'!$G12*Tariffs!$I$36)+($G12*Tariffs!J$37))*(1+Tariffs!$H$36)</f>
        <v>98067.371424232304</v>
      </c>
      <c r="J12" s="189"/>
      <c r="K12" s="189">
        <f t="shared" si="3"/>
        <v>26.06954217000748</v>
      </c>
      <c r="L12" s="189">
        <f t="shared" si="0"/>
        <v>26.06954217000748</v>
      </c>
      <c r="M12" s="189"/>
      <c r="N12" s="262">
        <f t="shared" si="1"/>
        <v>2.6590367191747788E-4</v>
      </c>
      <c r="O12" s="274">
        <f t="shared" si="2"/>
        <v>2.6590367191747788E-4</v>
      </c>
      <c r="P12" s="66"/>
    </row>
    <row r="13" spans="2:16" x14ac:dyDescent="0.3">
      <c r="B13" s="66"/>
      <c r="C13" s="138" t="s">
        <v>130</v>
      </c>
      <c r="D13" s="140">
        <v>27</v>
      </c>
      <c r="E13" s="139">
        <v>0.2</v>
      </c>
      <c r="F13" s="140">
        <v>452.88888888888891</v>
      </c>
      <c r="G13" s="141">
        <v>201810.48148148149</v>
      </c>
      <c r="H13" s="189">
        <f>(Tariffs!$E$37+($G13*Tariffs!$F$37)+('Large Power'!$F13*Tariffs!$G$37)+('Large Power'!$G13*Tariffs!$I$36))*(1+Tariffs!$H$36)</f>
        <v>150532.30327683469</v>
      </c>
      <c r="I13" s="189">
        <f>(Tariffs!$E$37+($G13*Tariffs!$F$37)+('Large Power'!$F13*Tariffs!$G$37)+('Large Power'!$G13*Tariffs!$I$36)+($G13*Tariffs!J$37))*(1+Tariffs!$H$36)</f>
        <v>150573.56342977358</v>
      </c>
      <c r="J13" s="189"/>
      <c r="K13" s="189">
        <f t="shared" si="3"/>
        <v>41.260152938892134</v>
      </c>
      <c r="L13" s="189">
        <f t="shared" si="0"/>
        <v>41.260152938892134</v>
      </c>
      <c r="M13" s="189"/>
      <c r="N13" s="262">
        <f t="shared" si="1"/>
        <v>2.7409500845143597E-4</v>
      </c>
      <c r="O13" s="274">
        <f t="shared" si="2"/>
        <v>2.7409500845143597E-4</v>
      </c>
      <c r="P13" s="66"/>
    </row>
    <row r="14" spans="2:16" x14ac:dyDescent="0.3">
      <c r="B14" s="66"/>
      <c r="C14" s="138" t="s">
        <v>131</v>
      </c>
      <c r="D14" s="140">
        <v>8</v>
      </c>
      <c r="E14" s="139">
        <v>5.9259259259259262E-2</v>
      </c>
      <c r="F14" s="140">
        <v>666.5</v>
      </c>
      <c r="G14" s="141">
        <v>361357.125</v>
      </c>
      <c r="H14" s="189">
        <f>(Tariffs!$E$37+($G14*Tariffs!$F$37)+('Large Power'!$F14*Tariffs!$G$37)+('Large Power'!$G14*Tariffs!$I$36))*(1+Tariffs!$H$36)</f>
        <v>263970.75301333424</v>
      </c>
      <c r="I14" s="189">
        <f>(Tariffs!$E$37+($G14*Tariffs!$F$37)+('Large Power'!$F14*Tariffs!$G$37)+('Large Power'!$G14*Tariffs!$I$36)+($G14*Tariffs!J$37))*(1+Tariffs!$H$36)</f>
        <v>264044.63247754052</v>
      </c>
      <c r="J14" s="189"/>
      <c r="K14" s="189">
        <f t="shared" si="3"/>
        <v>73.879464206285775</v>
      </c>
      <c r="L14" s="189">
        <f t="shared" si="0"/>
        <v>73.879464206285775</v>
      </c>
      <c r="M14" s="189"/>
      <c r="N14" s="262">
        <f t="shared" si="1"/>
        <v>2.7987746128288471E-4</v>
      </c>
      <c r="O14" s="274">
        <f t="shared" si="2"/>
        <v>2.7987746128288471E-4</v>
      </c>
      <c r="P14" s="66"/>
    </row>
    <row r="15" spans="2:16" x14ac:dyDescent="0.3">
      <c r="B15" s="66"/>
      <c r="C15" s="138" t="s">
        <v>132</v>
      </c>
      <c r="D15" s="140">
        <v>4</v>
      </c>
      <c r="E15" s="139">
        <v>2.9629629629629631E-2</v>
      </c>
      <c r="F15" s="140">
        <v>149</v>
      </c>
      <c r="G15" s="141">
        <v>95099.75</v>
      </c>
      <c r="H15" s="189">
        <f>(Tariffs!$E$37+($G15*Tariffs!$F$37)+('Large Power'!$F15*Tariffs!$G$37)+('Large Power'!$G15*Tariffs!$I$36))*(1+Tariffs!$H$36)</f>
        <v>69429.179336312256</v>
      </c>
      <c r="I15" s="189">
        <f>(Tariffs!$E$37+($G15*Tariffs!$F$37)+('Large Power'!$F15*Tariffs!$G$37)+('Large Power'!$G15*Tariffs!$I$36)+($G15*Tariffs!J$37))*(1+Tariffs!$H$36)</f>
        <v>69448.62248019976</v>
      </c>
      <c r="J15" s="189"/>
      <c r="K15" s="189">
        <f t="shared" si="3"/>
        <v>19.443143887503538</v>
      </c>
      <c r="L15" s="189">
        <f t="shared" si="0"/>
        <v>19.443143887503538</v>
      </c>
      <c r="M15" s="189"/>
      <c r="N15" s="262">
        <f t="shared" si="1"/>
        <v>2.8004283031091148E-4</v>
      </c>
      <c r="O15" s="274">
        <f t="shared" si="2"/>
        <v>2.8004283031091148E-4</v>
      </c>
      <c r="P15" s="66"/>
    </row>
    <row r="16" spans="2:16" ht="15" thickBot="1" x14ac:dyDescent="0.35">
      <c r="B16" s="66"/>
      <c r="C16" s="190" t="s">
        <v>133</v>
      </c>
      <c r="D16" s="191">
        <v>1</v>
      </c>
      <c r="E16" s="192">
        <v>7.4074074074074077E-3</v>
      </c>
      <c r="F16" s="191">
        <v>120</v>
      </c>
      <c r="G16" s="193">
        <v>84987</v>
      </c>
      <c r="H16" s="194">
        <f>(Tariffs!$E$37+($G16*Tariffs!$F$37)+('Large Power'!$F16*Tariffs!$G$37)+('Large Power'!$G16*Tariffs!$I$36))*(1+Tariffs!$H$36)</f>
        <v>61736.674782118731</v>
      </c>
      <c r="I16" s="194">
        <f>(Tariffs!$E$37+($G16*Tariffs!$F$37)+('Large Power'!$F16*Tariffs!$G$37)+('Large Power'!$G16*Tariffs!$I$36)+($G16*Tariffs!J$37))*(1+Tariffs!$H$36)</f>
        <v>61754.050374268729</v>
      </c>
      <c r="J16" s="194"/>
      <c r="K16" s="194">
        <f t="shared" si="3"/>
        <v>17.375592149997829</v>
      </c>
      <c r="L16" s="194">
        <f t="shared" si="0"/>
        <v>17.375592149997829</v>
      </c>
      <c r="M16" s="194"/>
      <c r="N16" s="275">
        <f t="shared" si="1"/>
        <v>2.8144684195119396E-4</v>
      </c>
      <c r="O16" s="276">
        <f t="shared" si="2"/>
        <v>2.8144684195119396E-4</v>
      </c>
      <c r="P16" s="66"/>
    </row>
    <row r="17" spans="2:16" x14ac:dyDescent="0.3">
      <c r="B17" s="66"/>
      <c r="C17" s="66"/>
      <c r="D17" s="66"/>
      <c r="E17" s="66"/>
      <c r="F17" s="66"/>
      <c r="G17" s="66"/>
      <c r="H17" s="66"/>
      <c r="I17" s="66"/>
      <c r="J17" s="66"/>
      <c r="K17" s="66"/>
      <c r="L17" s="66"/>
      <c r="M17" s="66"/>
      <c r="N17" s="66"/>
      <c r="O17" s="66"/>
      <c r="P17" s="66"/>
    </row>
    <row r="18" spans="2:16" x14ac:dyDescent="0.3">
      <c r="B18" s="66"/>
      <c r="C18" s="66"/>
      <c r="D18" s="66"/>
      <c r="E18" s="66"/>
      <c r="F18" s="66"/>
      <c r="G18" s="66"/>
      <c r="H18" s="66"/>
      <c r="I18" s="66"/>
      <c r="J18" s="66"/>
      <c r="K18" s="66"/>
      <c r="L18" s="66"/>
      <c r="M18" s="66"/>
      <c r="N18" s="66"/>
      <c r="O18" s="66"/>
      <c r="P18" s="66"/>
    </row>
  </sheetData>
  <mergeCells count="8">
    <mergeCell ref="K4:O4"/>
    <mergeCell ref="C4:C6"/>
    <mergeCell ref="D4:D6"/>
    <mergeCell ref="E4:E6"/>
    <mergeCell ref="F4:F6"/>
    <mergeCell ref="G4:G6"/>
    <mergeCell ref="K5:L5"/>
    <mergeCell ref="N5:O5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D684CD-EA4F-4B1D-8AE5-A8C2DB79D7EA}">
  <dimension ref="B2:P29"/>
  <sheetViews>
    <sheetView workbookViewId="0">
      <selection activeCell="P14" sqref="P14"/>
    </sheetView>
  </sheetViews>
  <sheetFormatPr defaultRowHeight="14.4" outlineLevelCol="1" x14ac:dyDescent="0.3"/>
  <cols>
    <col min="1" max="2" width="8.88671875" style="71"/>
    <col min="3" max="3" width="12.77734375" style="71" customWidth="1"/>
    <col min="4" max="4" width="15.5546875" style="71" customWidth="1"/>
    <col min="5" max="5" width="17.44140625" style="71" customWidth="1"/>
    <col min="6" max="6" width="15.5546875" style="71" customWidth="1"/>
    <col min="7" max="7" width="16.6640625" style="71" customWidth="1"/>
    <col min="8" max="8" width="12.109375" style="71" hidden="1" customWidth="1" outlineLevel="1"/>
    <col min="9" max="9" width="4.88671875" style="71" hidden="1" customWidth="1" outlineLevel="1"/>
    <col min="10" max="10" width="11.109375" style="71" bestFit="1" customWidth="1" collapsed="1"/>
    <col min="11" max="11" width="11.44140625" style="71" bestFit="1" customWidth="1"/>
    <col min="12" max="12" width="3.6640625" style="71" customWidth="1"/>
    <col min="13" max="13" width="8.88671875" style="71"/>
    <col min="14" max="14" width="11.6640625" style="71" customWidth="1"/>
    <col min="15" max="16" width="12.109375" style="71" bestFit="1" customWidth="1"/>
    <col min="17" max="17" width="11.109375" style="71" bestFit="1" customWidth="1"/>
    <col min="18" max="16384" width="8.88671875" style="71"/>
  </cols>
  <sheetData>
    <row r="2" spans="2:16" x14ac:dyDescent="0.3">
      <c r="B2" s="66"/>
      <c r="C2" s="66"/>
      <c r="D2" s="66"/>
      <c r="E2" s="66"/>
      <c r="F2" s="66"/>
      <c r="G2" s="66"/>
      <c r="H2" s="66"/>
      <c r="I2" s="66"/>
      <c r="J2" s="66"/>
      <c r="K2" s="66"/>
      <c r="L2" s="66"/>
      <c r="M2" s="66"/>
      <c r="N2" s="66"/>
      <c r="O2" s="66"/>
      <c r="P2" s="66"/>
    </row>
    <row r="3" spans="2:16" x14ac:dyDescent="0.3">
      <c r="B3" s="66"/>
      <c r="C3" s="66"/>
      <c r="D3" s="66"/>
      <c r="E3" s="66"/>
      <c r="F3" s="66"/>
      <c r="G3" s="66"/>
      <c r="H3" s="66"/>
      <c r="I3" s="66"/>
      <c r="J3" s="66"/>
      <c r="K3" s="66"/>
      <c r="L3" s="66"/>
      <c r="M3" s="66"/>
      <c r="N3" s="66"/>
      <c r="O3" s="66"/>
      <c r="P3" s="66"/>
    </row>
    <row r="4" spans="2:16" ht="14.4" customHeight="1" x14ac:dyDescent="0.3">
      <c r="B4" s="66"/>
      <c r="C4" s="156" t="str">
        <f>"Time of Use Bill Impacts"&amp;"-"&amp;'CETR Rate'!D3</f>
        <v>Time of Use Bill Impacts-Distributed Energy Resources Aggregation &amp; Control Platform</v>
      </c>
      <c r="D4" s="111"/>
      <c r="E4" s="111"/>
      <c r="F4" s="150"/>
      <c r="G4" s="111"/>
      <c r="H4" s="248" t="s">
        <v>113</v>
      </c>
      <c r="I4" s="248"/>
      <c r="J4" s="248"/>
      <c r="K4" s="248"/>
      <c r="L4" s="248"/>
      <c r="M4" s="248"/>
      <c r="N4" s="249"/>
      <c r="O4" s="66"/>
      <c r="P4" s="66"/>
    </row>
    <row r="5" spans="2:16" ht="14.4" customHeight="1" x14ac:dyDescent="0.3">
      <c r="B5" s="66"/>
      <c r="C5" s="69"/>
      <c r="D5" s="111"/>
      <c r="E5" s="111"/>
      <c r="F5" s="150"/>
      <c r="G5" s="111"/>
      <c r="H5" s="215" t="s">
        <v>95</v>
      </c>
      <c r="I5" s="197"/>
      <c r="J5" s="246" t="s">
        <v>141</v>
      </c>
      <c r="K5" s="246"/>
      <c r="L5" s="197"/>
      <c r="M5" s="246" t="s">
        <v>142</v>
      </c>
      <c r="N5" s="247"/>
      <c r="O5" s="66"/>
      <c r="P5" s="66"/>
    </row>
    <row r="6" spans="2:16" ht="46.2" customHeight="1" x14ac:dyDescent="0.3">
      <c r="B6" s="66"/>
      <c r="C6" s="154" t="s">
        <v>143</v>
      </c>
      <c r="D6" s="155" t="s">
        <v>144</v>
      </c>
      <c r="E6" s="155" t="s">
        <v>145</v>
      </c>
      <c r="F6" s="155" t="s">
        <v>138</v>
      </c>
      <c r="G6" s="155" t="s">
        <v>140</v>
      </c>
      <c r="H6" s="197">
        <v>2024</v>
      </c>
      <c r="I6" s="197"/>
      <c r="J6" s="197">
        <v>2024</v>
      </c>
      <c r="K6" s="197" t="s">
        <v>154</v>
      </c>
      <c r="L6" s="197"/>
      <c r="M6" s="197">
        <v>2024</v>
      </c>
      <c r="N6" s="198" t="s">
        <v>154</v>
      </c>
      <c r="O6" s="66"/>
      <c r="P6" s="66"/>
    </row>
    <row r="7" spans="2:16" x14ac:dyDescent="0.3">
      <c r="B7" s="66"/>
      <c r="C7" s="151">
        <v>195.41218130311614</v>
      </c>
      <c r="D7" s="143">
        <v>61966</v>
      </c>
      <c r="E7" s="143">
        <v>75995</v>
      </c>
      <c r="F7" s="143">
        <v>706</v>
      </c>
      <c r="G7" s="75">
        <f>(Tariffs!$E$41+(Tariffs!$E$43*'Time of Use'!$D7)+(Tariffs!$E$44*'Time of Use'!$E7)+(Tariffs!$E$46*'Time of Use'!$F7)+((Tariffs!$E$48*Tariffs!$I$36)*'Time of Use'!$D7)+((Tariffs!$E$49*Tariffs!$I$36)*'Time of Use'!$E7))*(1+Tariffs!$H$36)</f>
        <v>110608.66604985629</v>
      </c>
      <c r="H7" s="75">
        <f>(Tariffs!$E$41+(Tariffs!$E$43*'Time of Use'!$D7)+(Tariffs!$E$44*'Time of Use'!$E7)+(Tariffs!$E$46*'Time of Use'!$F7)+((Tariffs!$E$48*Tariffs!$I$36)*'Time of Use'!$D7)+((Tariffs!$E$49*Tariffs!$I$36)*'Time of Use'!$E7)+(('Time of Use'!$D7+'Time of Use'!$E7)*Tariffs!E$52))*(1+Tariffs!$H$36)</f>
        <v>110636.87217630629</v>
      </c>
      <c r="I7" s="75"/>
      <c r="J7" s="75">
        <f>H7-$G7</f>
        <v>28.206126450008014</v>
      </c>
      <c r="K7" s="199">
        <f t="shared" ref="K7:K26" si="0">SUM(J7:J7)</f>
        <v>28.206126450008014</v>
      </c>
      <c r="L7" s="75"/>
      <c r="M7" s="262">
        <f t="shared" ref="M7:M26" si="1">H7/$G7-1</f>
        <v>2.5500828693925115E-4</v>
      </c>
      <c r="N7" s="277">
        <f t="shared" ref="N7:N26" si="2">SUM(M7:M7)</f>
        <v>2.5500828693925115E-4</v>
      </c>
      <c r="O7" s="66"/>
      <c r="P7" s="66"/>
    </row>
    <row r="8" spans="2:16" x14ac:dyDescent="0.3">
      <c r="B8" s="66"/>
      <c r="C8" s="151">
        <v>244.05903398926654</v>
      </c>
      <c r="D8" s="143">
        <v>43142</v>
      </c>
      <c r="E8" s="143">
        <v>93287</v>
      </c>
      <c r="F8" s="143">
        <v>559</v>
      </c>
      <c r="G8" s="75">
        <f>(Tariffs!$E$41+(Tariffs!$E$43*'Time of Use'!$D8)+(Tariffs!$E$44*'Time of Use'!$E8)+(Tariffs!$E$46*'Time of Use'!$F8)+((Tariffs!$E$48*Tariffs!$I$36)*'Time of Use'!$D8)+((Tariffs!$E$49*Tariffs!$I$36)*'Time of Use'!$E8))*(1+Tariffs!$H$36)</f>
        <v>101172.93998631478</v>
      </c>
      <c r="H8" s="75">
        <f>(Tariffs!$E$41+(Tariffs!$E$43*'Time of Use'!$D8)+(Tariffs!$E$44*'Time of Use'!$E8)+(Tariffs!$E$46*'Time of Use'!$F8)+((Tariffs!$E$48*Tariffs!$I$36)*'Time of Use'!$D8)+((Tariffs!$E$49*Tariffs!$I$36)*'Time of Use'!$E8)+(('Time of Use'!$D8+'Time of Use'!$E8)*Tariffs!E$52))*(1+Tariffs!$H$36)</f>
        <v>101200.83289536479</v>
      </c>
      <c r="I8" s="75"/>
      <c r="J8" s="75">
        <f t="shared" ref="J8:J22" si="3">H8-$G8</f>
        <v>27.892909050002345</v>
      </c>
      <c r="K8" s="199">
        <f t="shared" si="0"/>
        <v>27.892909050002345</v>
      </c>
      <c r="L8" s="75"/>
      <c r="M8" s="262">
        <f t="shared" si="1"/>
        <v>2.7569534950533381E-4</v>
      </c>
      <c r="N8" s="277">
        <f t="shared" si="2"/>
        <v>2.7569534950533381E-4</v>
      </c>
      <c r="O8" s="66"/>
      <c r="P8" s="66"/>
    </row>
    <row r="9" spans="2:16" x14ac:dyDescent="0.3">
      <c r="B9" s="66"/>
      <c r="C9" s="151">
        <v>308.73634945397816</v>
      </c>
      <c r="D9" s="143">
        <v>71595</v>
      </c>
      <c r="E9" s="143">
        <v>126305</v>
      </c>
      <c r="F9" s="143">
        <v>641</v>
      </c>
      <c r="G9" s="75">
        <f>(Tariffs!$E$41+(Tariffs!$E$43*'Time of Use'!$D9)+(Tariffs!$E$44*'Time of Use'!$E9)+(Tariffs!$E$46*'Time of Use'!$F9)+((Tariffs!$E$48*Tariffs!$I$36)*'Time of Use'!$D9)+((Tariffs!$E$49*Tariffs!$I$36)*'Time of Use'!$E9))*(1+Tariffs!$H$36)</f>
        <v>145625.53516186064</v>
      </c>
      <c r="H9" s="75">
        <f>(Tariffs!$E$41+(Tariffs!$E$43*'Time of Use'!$D9)+(Tariffs!$E$44*'Time of Use'!$E9)+(Tariffs!$E$46*'Time of Use'!$F9)+((Tariffs!$E$48*Tariffs!$I$36)*'Time of Use'!$D9)+((Tariffs!$E$49*Tariffs!$I$36)*'Time of Use'!$E9)+(('Time of Use'!$D9+'Time of Use'!$E9)*Tariffs!E$52))*(1+Tariffs!$H$36)</f>
        <v>145665.99581686064</v>
      </c>
      <c r="I9" s="75"/>
      <c r="J9" s="75">
        <f t="shared" si="3"/>
        <v>40.460655000002589</v>
      </c>
      <c r="K9" s="199">
        <f t="shared" si="0"/>
        <v>40.460655000002589</v>
      </c>
      <c r="L9" s="75"/>
      <c r="M9" s="262">
        <f t="shared" si="1"/>
        <v>2.778403866809942E-4</v>
      </c>
      <c r="N9" s="277">
        <f t="shared" si="2"/>
        <v>2.778403866809942E-4</v>
      </c>
      <c r="O9" s="66"/>
      <c r="P9" s="66"/>
    </row>
    <row r="10" spans="2:16" x14ac:dyDescent="0.3">
      <c r="B10" s="66"/>
      <c r="C10" s="151">
        <v>365.29595015576325</v>
      </c>
      <c r="D10" s="143">
        <v>40924</v>
      </c>
      <c r="E10" s="143">
        <v>76336</v>
      </c>
      <c r="F10" s="143">
        <v>321</v>
      </c>
      <c r="G10" s="75">
        <f>(Tariffs!$E$41+(Tariffs!$E$43*'Time of Use'!$D10)+(Tariffs!$E$44*'Time of Use'!$E10)+(Tariffs!$E$46*'Time of Use'!$F10)+((Tariffs!$E$48*Tariffs!$I$36)*'Time of Use'!$D10)+((Tariffs!$E$49*Tariffs!$I$36)*'Time of Use'!$E10))*(1+Tariffs!$H$36)</f>
        <v>84751.122946383897</v>
      </c>
      <c r="H10" s="75">
        <f>(Tariffs!$E$41+(Tariffs!$E$43*'Time of Use'!$D10)+(Tariffs!$E$44*'Time of Use'!$E10)+(Tariffs!$E$46*'Time of Use'!$F10)+((Tariffs!$E$48*Tariffs!$I$36)*'Time of Use'!$D10)+((Tariffs!$E$49*Tariffs!$I$36)*'Time of Use'!$E10)+(('Time of Use'!$D10+'Time of Use'!$E10)*Tariffs!E$52))*(1+Tariffs!$H$36)</f>
        <v>84775.096753383899</v>
      </c>
      <c r="I10" s="75"/>
      <c r="J10" s="75">
        <f t="shared" si="3"/>
        <v>23.973807000002125</v>
      </c>
      <c r="K10" s="199">
        <f t="shared" si="0"/>
        <v>23.973807000002125</v>
      </c>
      <c r="L10" s="75"/>
      <c r="M10" s="262">
        <f t="shared" si="1"/>
        <v>2.8287303066387715E-4</v>
      </c>
      <c r="N10" s="277">
        <f t="shared" si="2"/>
        <v>2.8287303066387715E-4</v>
      </c>
      <c r="O10" s="66"/>
      <c r="P10" s="66"/>
    </row>
    <row r="11" spans="2:16" x14ac:dyDescent="0.3">
      <c r="B11" s="66"/>
      <c r="C11" s="151">
        <v>380.75342465753425</v>
      </c>
      <c r="D11" s="143">
        <v>8793</v>
      </c>
      <c r="E11" s="143">
        <v>19002</v>
      </c>
      <c r="F11" s="143">
        <v>73</v>
      </c>
      <c r="G11" s="75">
        <f>(Tariffs!$E$41+(Tariffs!$E$43*'Time of Use'!$D11)+(Tariffs!$E$44*'Time of Use'!$E11)+(Tariffs!$E$46*'Time of Use'!$F11)+((Tariffs!$E$48*Tariffs!$I$36)*'Time of Use'!$D11)+((Tariffs!$E$49*Tariffs!$I$36)*'Time of Use'!$E11))*(1+Tariffs!$H$36)</f>
        <v>20029.177336304725</v>
      </c>
      <c r="H11" s="75">
        <f>(Tariffs!$E$41+(Tariffs!$E$43*'Time of Use'!$D11)+(Tariffs!$E$44*'Time of Use'!$E11)+(Tariffs!$E$46*'Time of Use'!$F11)+((Tariffs!$E$48*Tariffs!$I$36)*'Time of Use'!$D11)+((Tariffs!$E$49*Tariffs!$I$36)*'Time of Use'!$E11)+(('Time of Use'!$D11+'Time of Use'!$E11)*Tariffs!E$52))*(1+Tariffs!$H$36)</f>
        <v>20034.860024054724</v>
      </c>
      <c r="I11" s="75"/>
      <c r="J11" s="75">
        <f t="shared" si="3"/>
        <v>5.6826877499988768</v>
      </c>
      <c r="K11" s="199">
        <f t="shared" si="0"/>
        <v>5.6826877499988768</v>
      </c>
      <c r="L11" s="75"/>
      <c r="M11" s="262">
        <f t="shared" si="1"/>
        <v>2.837204771111157E-4</v>
      </c>
      <c r="N11" s="277">
        <f t="shared" si="2"/>
        <v>2.837204771111157E-4</v>
      </c>
      <c r="O11" s="66"/>
      <c r="P11" s="66"/>
    </row>
    <row r="12" spans="2:16" x14ac:dyDescent="0.3">
      <c r="B12" s="66"/>
      <c r="C12" s="151">
        <v>434.0128205128205</v>
      </c>
      <c r="D12" s="143">
        <v>22284</v>
      </c>
      <c r="E12" s="143">
        <v>45422</v>
      </c>
      <c r="F12" s="143">
        <v>156</v>
      </c>
      <c r="G12" s="75">
        <f>(Tariffs!$E$41+(Tariffs!$E$43*'Time of Use'!$D12)+(Tariffs!$E$44*'Time of Use'!$E12)+(Tariffs!$E$46*'Time of Use'!$F12)+((Tariffs!$E$48*Tariffs!$I$36)*'Time of Use'!$D12)+((Tariffs!$E$49*Tariffs!$I$36)*'Time of Use'!$E12))*(1+Tariffs!$H$36)</f>
        <v>48072.804455736448</v>
      </c>
      <c r="H12" s="75">
        <f>(Tariffs!$E$41+(Tariffs!$E$43*'Time of Use'!$D12)+(Tariffs!$E$44*'Time of Use'!$E12)+(Tariffs!$E$46*'Time of Use'!$F12)+((Tariffs!$E$48*Tariffs!$I$36)*'Time of Use'!$D12)+((Tariffs!$E$49*Tariffs!$I$36)*'Time of Use'!$E12)+(('Time of Use'!$D12+'Time of Use'!$E12)*Tariffs!E$52))*(1+Tariffs!$H$36)</f>
        <v>48086.646947436449</v>
      </c>
      <c r="I12" s="75"/>
      <c r="J12" s="75">
        <f t="shared" si="3"/>
        <v>13.842491700001119</v>
      </c>
      <c r="K12" s="199">
        <f t="shared" si="0"/>
        <v>13.842491700001119</v>
      </c>
      <c r="L12" s="75"/>
      <c r="M12" s="262">
        <f t="shared" si="1"/>
        <v>2.8794849513613663E-4</v>
      </c>
      <c r="N12" s="277">
        <f t="shared" si="2"/>
        <v>2.8794849513613663E-4</v>
      </c>
      <c r="O12" s="66"/>
      <c r="P12" s="66"/>
    </row>
    <row r="13" spans="2:16" x14ac:dyDescent="0.3">
      <c r="B13" s="66"/>
      <c r="C13" s="151">
        <v>470.43421052631578</v>
      </c>
      <c r="D13" s="143">
        <v>21329</v>
      </c>
      <c r="E13" s="143">
        <v>50177</v>
      </c>
      <c r="F13" s="143">
        <v>152</v>
      </c>
      <c r="G13" s="75">
        <f>(Tariffs!$E$41+(Tariffs!$E$43*'Time of Use'!$D13)+(Tariffs!$E$44*'Time of Use'!$E13)+(Tariffs!$E$46*'Time of Use'!$F13)+((Tariffs!$E$48*Tariffs!$I$36)*'Time of Use'!$D13)+((Tariffs!$E$49*Tariffs!$I$36)*'Time of Use'!$E13))*(1+Tariffs!$H$36)</f>
        <v>49840.616391360752</v>
      </c>
      <c r="H13" s="75">
        <f>(Tariffs!$E$41+(Tariffs!$E$43*'Time of Use'!$D13)+(Tariffs!$E$44*'Time of Use'!$E13)+(Tariffs!$E$46*'Time of Use'!$F13)+((Tariffs!$E$48*Tariffs!$I$36)*'Time of Use'!$D13)+((Tariffs!$E$49*Tariffs!$I$36)*'Time of Use'!$E13)+(('Time of Use'!$D13+'Time of Use'!$E13)*Tariffs!E$52))*(1+Tariffs!$H$36)</f>
        <v>49855.235793060754</v>
      </c>
      <c r="I13" s="75"/>
      <c r="J13" s="75">
        <f t="shared" si="3"/>
        <v>14.619401700001617</v>
      </c>
      <c r="K13" s="199">
        <f t="shared" si="0"/>
        <v>14.619401700001617</v>
      </c>
      <c r="L13" s="75"/>
      <c r="M13" s="262">
        <f t="shared" si="1"/>
        <v>2.9332305172968809E-4</v>
      </c>
      <c r="N13" s="277">
        <f t="shared" si="2"/>
        <v>2.9332305172968809E-4</v>
      </c>
      <c r="O13" s="66"/>
      <c r="P13" s="66"/>
    </row>
    <row r="14" spans="2:16" x14ac:dyDescent="0.3">
      <c r="B14" s="66"/>
      <c r="C14" s="151">
        <v>497.28629032258067</v>
      </c>
      <c r="D14" s="143">
        <v>40262</v>
      </c>
      <c r="E14" s="143">
        <v>83065</v>
      </c>
      <c r="F14" s="143">
        <v>248</v>
      </c>
      <c r="G14" s="75">
        <f>(Tariffs!$E$41+(Tariffs!$E$43*'Time of Use'!$D14)+(Tariffs!$E$44*'Time of Use'!$E14)+(Tariffs!$E$46*'Time of Use'!$F14)+((Tariffs!$E$48*Tariffs!$I$36)*'Time of Use'!$D14)+((Tariffs!$E$49*Tariffs!$I$36)*'Time of Use'!$E14))*(1+Tariffs!$H$36)</f>
        <v>86415.302693335892</v>
      </c>
      <c r="H14" s="75">
        <f>(Tariffs!$E$41+(Tariffs!$E$43*'Time of Use'!$D14)+(Tariffs!$E$44*'Time of Use'!$E14)+(Tariffs!$E$46*'Time of Use'!$F14)+((Tariffs!$E$48*Tariffs!$I$36)*'Time of Use'!$D14)+((Tariffs!$E$49*Tariffs!$I$36)*'Time of Use'!$E14)+(('Time of Use'!$D14+'Time of Use'!$E14)*Tariffs!E$52))*(1+Tariffs!$H$36)</f>
        <v>86440.51689848589</v>
      </c>
      <c r="I14" s="75"/>
      <c r="J14" s="75">
        <f t="shared" si="3"/>
        <v>25.214205149997724</v>
      </c>
      <c r="K14" s="199">
        <f t="shared" si="0"/>
        <v>25.214205149997724</v>
      </c>
      <c r="L14" s="75"/>
      <c r="M14" s="262">
        <f t="shared" si="1"/>
        <v>2.9177939976077205E-4</v>
      </c>
      <c r="N14" s="277">
        <f t="shared" si="2"/>
        <v>2.9177939976077205E-4</v>
      </c>
      <c r="O14" s="66"/>
      <c r="P14" s="66"/>
    </row>
    <row r="15" spans="2:16" x14ac:dyDescent="0.3">
      <c r="B15" s="66"/>
      <c r="C15" s="151">
        <v>524.93687707641197</v>
      </c>
      <c r="D15" s="143">
        <v>101139</v>
      </c>
      <c r="E15" s="143">
        <v>214873</v>
      </c>
      <c r="F15" s="143">
        <v>602</v>
      </c>
      <c r="G15" s="75">
        <f>(Tariffs!$E$41+(Tariffs!$E$43*'Time of Use'!$D15)+(Tariffs!$E$44*'Time of Use'!$E15)+(Tariffs!$E$46*'Time of Use'!$F15)+((Tariffs!$E$48*Tariffs!$I$36)*'Time of Use'!$D15)+((Tariffs!$E$49*Tariffs!$I$36)*'Time of Use'!$E15))*(1+Tariffs!$H$36)</f>
        <v>219582.00834913983</v>
      </c>
      <c r="H15" s="75">
        <f>(Tariffs!$E$41+(Tariffs!$E$43*'Time of Use'!$D15)+(Tariffs!$E$44*'Time of Use'!$E15)+(Tariffs!$E$46*'Time of Use'!$F15)+((Tariffs!$E$48*Tariffs!$I$36)*'Time of Use'!$D15)+((Tariffs!$E$49*Tariffs!$I$36)*'Time of Use'!$E15)+(('Time of Use'!$D15+'Time of Use'!$E15)*Tariffs!E$52))*(1+Tariffs!$H$36)</f>
        <v>219646.61700253983</v>
      </c>
      <c r="I15" s="75"/>
      <c r="J15" s="75">
        <f t="shared" si="3"/>
        <v>64.608653400006006</v>
      </c>
      <c r="K15" s="199">
        <f t="shared" si="0"/>
        <v>64.608653400006006</v>
      </c>
      <c r="L15" s="75"/>
      <c r="M15" s="262">
        <f t="shared" si="1"/>
        <v>2.9423473209733153E-4</v>
      </c>
      <c r="N15" s="277">
        <f t="shared" si="2"/>
        <v>2.9423473209733153E-4</v>
      </c>
      <c r="O15" s="66"/>
      <c r="P15" s="66"/>
    </row>
    <row r="16" spans="2:16" x14ac:dyDescent="0.3">
      <c r="B16" s="66"/>
      <c r="C16" s="151">
        <v>538.9</v>
      </c>
      <c r="D16" s="143">
        <v>18646</v>
      </c>
      <c r="E16" s="143">
        <v>40633</v>
      </c>
      <c r="F16" s="143">
        <v>110</v>
      </c>
      <c r="G16" s="75">
        <f>(Tariffs!$E$41+(Tariffs!$E$43*'Time of Use'!$D16)+(Tariffs!$E$44*'Time of Use'!$E16)+(Tariffs!$E$46*'Time of Use'!$F16)+((Tariffs!$E$48*Tariffs!$I$36)*'Time of Use'!$D16)+((Tariffs!$E$49*Tariffs!$I$36)*'Time of Use'!$E16))*(1+Tariffs!$H$36)</f>
        <v>41319.973393243024</v>
      </c>
      <c r="H16" s="75">
        <f>(Tariffs!$E$41+(Tariffs!$E$43*'Time of Use'!$D16)+(Tariffs!$E$44*'Time of Use'!$E16)+(Tariffs!$E$46*'Time of Use'!$F16)+((Tariffs!$E$48*Tariffs!$I$36)*'Time of Use'!$D16)+((Tariffs!$E$49*Tariffs!$I$36)*'Time of Use'!$E16)+(('Time of Use'!$D16+'Time of Use'!$E16)*Tariffs!E$52))*(1+Tariffs!$H$36)</f>
        <v>41332.092984793031</v>
      </c>
      <c r="I16" s="75"/>
      <c r="J16" s="75">
        <f t="shared" si="3"/>
        <v>12.119591550006589</v>
      </c>
      <c r="K16" s="199">
        <f t="shared" si="0"/>
        <v>12.119591550006589</v>
      </c>
      <c r="L16" s="75"/>
      <c r="M16" s="262">
        <f t="shared" si="1"/>
        <v>2.9331072976890304E-4</v>
      </c>
      <c r="N16" s="277">
        <f t="shared" si="2"/>
        <v>2.9331072976890304E-4</v>
      </c>
      <c r="O16" s="66"/>
      <c r="P16" s="66"/>
    </row>
    <row r="17" spans="2:16" x14ac:dyDescent="0.3">
      <c r="B17" s="66"/>
      <c r="C17" s="151">
        <v>549.03546099290782</v>
      </c>
      <c r="D17" s="143">
        <v>24463</v>
      </c>
      <c r="E17" s="143">
        <v>52951</v>
      </c>
      <c r="F17" s="143">
        <v>141</v>
      </c>
      <c r="G17" s="75">
        <f>(Tariffs!$E$41+(Tariffs!$E$43*'Time of Use'!$D17)+(Tariffs!$E$44*'Time of Use'!$E17)+(Tariffs!$E$46*'Time of Use'!$F17)+((Tariffs!$E$48*Tariffs!$I$36)*'Time of Use'!$D17)+((Tariffs!$E$49*Tariffs!$I$36)*'Time of Use'!$E17))*(1+Tariffs!$H$36)</f>
        <v>53829.647264778054</v>
      </c>
      <c r="H17" s="75">
        <f>(Tariffs!$E$41+(Tariffs!$E$43*'Time of Use'!$D17)+(Tariffs!$E$44*'Time of Use'!$E17)+(Tariffs!$E$46*'Time of Use'!$F17)+((Tariffs!$E$48*Tariffs!$I$36)*'Time of Use'!$D17)+((Tariffs!$E$49*Tariffs!$I$36)*'Time of Use'!$E17)+(('Time of Use'!$D17+'Time of Use'!$E17)*Tariffs!E$52))*(1+Tariffs!$H$36)</f>
        <v>53845.474557078051</v>
      </c>
      <c r="I17" s="75"/>
      <c r="J17" s="75">
        <f t="shared" si="3"/>
        <v>15.82729229999677</v>
      </c>
      <c r="K17" s="199">
        <f t="shared" si="0"/>
        <v>15.82729229999677</v>
      </c>
      <c r="L17" s="75"/>
      <c r="M17" s="262">
        <f t="shared" si="1"/>
        <v>2.9402556219904064E-4</v>
      </c>
      <c r="N17" s="277">
        <f t="shared" si="2"/>
        <v>2.9402556219904064E-4</v>
      </c>
      <c r="O17" s="66"/>
      <c r="P17" s="66"/>
    </row>
    <row r="18" spans="2:16" x14ac:dyDescent="0.3">
      <c r="B18" s="66"/>
      <c r="C18" s="151">
        <v>571.96818181818185</v>
      </c>
      <c r="D18" s="143">
        <v>39744</v>
      </c>
      <c r="E18" s="143">
        <v>86089</v>
      </c>
      <c r="F18" s="143">
        <v>220</v>
      </c>
      <c r="G18" s="75">
        <f>(Tariffs!$E$41+(Tariffs!$E$43*'Time of Use'!$D18)+(Tariffs!$E$44*'Time of Use'!$E18)+(Tariffs!$E$46*'Time of Use'!$F18)+((Tariffs!$E$48*Tariffs!$I$36)*'Time of Use'!$D18)+((Tariffs!$E$49*Tariffs!$I$36)*'Time of Use'!$E18))*(1+Tariffs!$H$36)</f>
        <v>87077.194671944031</v>
      </c>
      <c r="H18" s="75">
        <f>(Tariffs!$E$41+(Tariffs!$E$43*'Time of Use'!$D18)+(Tariffs!$E$44*'Time of Use'!$E18)+(Tariffs!$E$46*'Time of Use'!$F18)+((Tariffs!$E$48*Tariffs!$I$36)*'Time of Use'!$D18)+((Tariffs!$E$49*Tariffs!$I$36)*'Time of Use'!$E18)+(('Time of Use'!$D18+'Time of Use'!$E18)*Tariffs!E$52))*(1+Tariffs!$H$36)</f>
        <v>87102.921228794032</v>
      </c>
      <c r="I18" s="75"/>
      <c r="J18" s="75">
        <f t="shared" si="3"/>
        <v>25.726556850000634</v>
      </c>
      <c r="K18" s="199">
        <f t="shared" si="0"/>
        <v>25.726556850000634</v>
      </c>
      <c r="L18" s="75"/>
      <c r="M18" s="262">
        <f t="shared" si="1"/>
        <v>2.9544540274772935E-4</v>
      </c>
      <c r="N18" s="277">
        <f t="shared" si="2"/>
        <v>2.9544540274772935E-4</v>
      </c>
      <c r="O18" s="66"/>
      <c r="P18" s="66"/>
    </row>
    <row r="19" spans="2:16" x14ac:dyDescent="0.3">
      <c r="B19" s="66"/>
      <c r="C19" s="151">
        <v>572.14966887417222</v>
      </c>
      <c r="D19" s="143">
        <v>137049</v>
      </c>
      <c r="E19" s="143">
        <v>294924</v>
      </c>
      <c r="F19" s="143">
        <v>755</v>
      </c>
      <c r="G19" s="75">
        <f>(Tariffs!$E$41+(Tariffs!$E$43*'Time of Use'!$D19)+(Tariffs!$E$44*'Time of Use'!$E19)+(Tariffs!$E$46*'Time of Use'!$F19)+((Tariffs!$E$48*Tariffs!$I$36)*'Time of Use'!$D19)+((Tariffs!$E$49*Tariffs!$I$36)*'Time of Use'!$E19))*(1+Tariffs!$H$36)</f>
        <v>298242.8948959519</v>
      </c>
      <c r="H19" s="75">
        <f>(Tariffs!$E$41+(Tariffs!$E$43*'Time of Use'!$D19)+(Tariffs!$E$44*'Time of Use'!$E19)+(Tariffs!$E$46*'Time of Use'!$F19)+((Tariffs!$E$48*Tariffs!$I$36)*'Time of Use'!$D19)+((Tariffs!$E$49*Tariffs!$I$36)*'Time of Use'!$E19)+(('Time of Use'!$D19+'Time of Use'!$E19)*Tariffs!E$52))*(1+Tariffs!$H$36)</f>
        <v>298331.2117758019</v>
      </c>
      <c r="I19" s="75"/>
      <c r="J19" s="75">
        <f t="shared" si="3"/>
        <v>88.316879849997349</v>
      </c>
      <c r="K19" s="199">
        <f t="shared" si="0"/>
        <v>88.316879849997349</v>
      </c>
      <c r="L19" s="75"/>
      <c r="M19" s="262">
        <f t="shared" si="1"/>
        <v>2.9612400282252871E-4</v>
      </c>
      <c r="N19" s="277">
        <f t="shared" si="2"/>
        <v>2.9612400282252871E-4</v>
      </c>
      <c r="O19" s="66"/>
      <c r="P19" s="66"/>
    </row>
    <row r="20" spans="2:16" x14ac:dyDescent="0.3">
      <c r="B20" s="66"/>
      <c r="C20" s="151">
        <v>601.71428571428567</v>
      </c>
      <c r="D20" s="143">
        <v>27706</v>
      </c>
      <c r="E20" s="143">
        <v>60746</v>
      </c>
      <c r="F20" s="143">
        <v>147</v>
      </c>
      <c r="G20" s="75">
        <f>(Tariffs!$E$41+(Tariffs!$E$43*'Time of Use'!$D20)+(Tariffs!$E$44*'Time of Use'!$E20)+(Tariffs!$E$46*'Time of Use'!$F20)+((Tariffs!$E$48*Tariffs!$I$36)*'Time of Use'!$D20)+((Tariffs!$E$49*Tariffs!$I$36)*'Time of Use'!$E20))*(1+Tariffs!$H$36)</f>
        <v>61085.149851968155</v>
      </c>
      <c r="H20" s="75">
        <f>(Tariffs!$E$41+(Tariffs!$E$43*'Time of Use'!$D20)+(Tariffs!$E$44*'Time of Use'!$E20)+(Tariffs!$E$46*'Time of Use'!$F20)+((Tariffs!$E$48*Tariffs!$I$36)*'Time of Use'!$D20)+((Tariffs!$E$49*Tariffs!$I$36)*'Time of Use'!$E20)+(('Time of Use'!$D20+'Time of Use'!$E20)*Tariffs!E$52))*(1+Tariffs!$H$36)</f>
        <v>61103.23386336815</v>
      </c>
      <c r="I20" s="75"/>
      <c r="J20" s="75">
        <f t="shared" si="3"/>
        <v>18.084011399994779</v>
      </c>
      <c r="K20" s="199">
        <f t="shared" si="0"/>
        <v>18.084011399994779</v>
      </c>
      <c r="L20" s="75"/>
      <c r="M20" s="262">
        <f t="shared" si="1"/>
        <v>2.9604595296595093E-4</v>
      </c>
      <c r="N20" s="277">
        <f t="shared" si="2"/>
        <v>2.9604595296595093E-4</v>
      </c>
      <c r="O20" s="66"/>
      <c r="P20" s="66"/>
    </row>
    <row r="21" spans="2:16" x14ac:dyDescent="0.3">
      <c r="B21" s="66"/>
      <c r="C21" s="151">
        <v>620.68219633943431</v>
      </c>
      <c r="D21" s="143">
        <v>121035</v>
      </c>
      <c r="E21" s="143">
        <v>251995</v>
      </c>
      <c r="F21" s="143">
        <v>601</v>
      </c>
      <c r="G21" s="75">
        <f>(Tariffs!$E$41+(Tariffs!$E$43*'Time of Use'!$D21)+(Tariffs!$E$44*'Time of Use'!$E21)+(Tariffs!$E$46*'Time of Use'!$F21)+((Tariffs!$E$48*Tariffs!$I$36)*'Time of Use'!$D21)+((Tariffs!$E$49*Tariffs!$I$36)*'Time of Use'!$E21))*(1+Tariffs!$H$36)</f>
        <v>257297.68958894571</v>
      </c>
      <c r="H21" s="75">
        <f>(Tariffs!$E$41+(Tariffs!$E$43*'Time of Use'!$D21)+(Tariffs!$E$44*'Time of Use'!$E21)+(Tariffs!$E$46*'Time of Use'!$F21)+((Tariffs!$E$48*Tariffs!$I$36)*'Time of Use'!$D21)+((Tariffs!$E$49*Tariffs!$I$36)*'Time of Use'!$E21)+(('Time of Use'!$D21+'Time of Use'!$E21)*Tariffs!E$52))*(1+Tariffs!$H$36)</f>
        <v>257373.9555724457</v>
      </c>
      <c r="I21" s="75"/>
      <c r="J21" s="75">
        <f t="shared" si="3"/>
        <v>76.265983499994036</v>
      </c>
      <c r="K21" s="199">
        <f t="shared" si="0"/>
        <v>76.265983499994036</v>
      </c>
      <c r="L21" s="75"/>
      <c r="M21" s="262">
        <f t="shared" si="1"/>
        <v>2.9641145873426922E-4</v>
      </c>
      <c r="N21" s="277">
        <f t="shared" si="2"/>
        <v>2.9641145873426922E-4</v>
      </c>
      <c r="O21" s="66"/>
      <c r="P21" s="66"/>
    </row>
    <row r="22" spans="2:16" x14ac:dyDescent="0.3">
      <c r="B22" s="66"/>
      <c r="C22" s="151">
        <v>623.12658227848101</v>
      </c>
      <c r="D22" s="143">
        <v>15554</v>
      </c>
      <c r="E22" s="143">
        <v>33673</v>
      </c>
      <c r="F22" s="143">
        <v>79</v>
      </c>
      <c r="G22" s="75">
        <f>(Tariffs!$E$41+(Tariffs!$E$43*'Time of Use'!$D22)+(Tariffs!$E$44*'Time of Use'!$E22)+(Tariffs!$E$46*'Time of Use'!$F22)+((Tariffs!$E$48*Tariffs!$I$36)*'Time of Use'!$D22)+((Tariffs!$E$49*Tariffs!$I$36)*'Time of Use'!$E22))*(1+Tariffs!$H$36)</f>
        <v>34132.216168748659</v>
      </c>
      <c r="H22" s="75">
        <f>(Tariffs!$E$41+(Tariffs!$E$43*'Time of Use'!$D22)+(Tariffs!$E$44*'Time of Use'!$E22)+(Tariffs!$E$46*'Time of Use'!$F22)+((Tariffs!$E$48*Tariffs!$I$36)*'Time of Use'!$D22)+((Tariffs!$E$49*Tariffs!$I$36)*'Time of Use'!$E22)+(('Time of Use'!$D22+'Time of Use'!$E22)*Tariffs!E$52))*(1+Tariffs!$H$36)</f>
        <v>34142.280628898661</v>
      </c>
      <c r="I22" s="75"/>
      <c r="J22" s="75">
        <f t="shared" si="3"/>
        <v>10.06446015000256</v>
      </c>
      <c r="K22" s="199">
        <f t="shared" si="0"/>
        <v>10.06446015000256</v>
      </c>
      <c r="L22" s="75"/>
      <c r="M22" s="262">
        <f t="shared" si="1"/>
        <v>2.9486688178237408E-4</v>
      </c>
      <c r="N22" s="277">
        <f t="shared" si="2"/>
        <v>2.9486688178237408E-4</v>
      </c>
      <c r="O22" s="66"/>
      <c r="P22" s="66"/>
    </row>
    <row r="23" spans="2:16" x14ac:dyDescent="0.3">
      <c r="B23" s="66"/>
      <c r="C23" s="151">
        <v>642.43309859154931</v>
      </c>
      <c r="D23" s="143">
        <v>81730</v>
      </c>
      <c r="E23" s="143">
        <v>100721</v>
      </c>
      <c r="F23" s="143">
        <v>284</v>
      </c>
      <c r="G23" s="75">
        <f>(Tariffs!$E$41+(Tariffs!$E$43*'Time of Use'!$D23)+(Tariffs!$E$44*'Time of Use'!$E23)+(Tariffs!$E$46*'Time of Use'!$F23)+((Tariffs!$E$48*Tariffs!$I$36)*'Time of Use'!$D23)+((Tariffs!$E$49*Tariffs!$I$36)*'Time of Use'!$E23))*(1+Tariffs!$H$36)</f>
        <v>132360.16801743174</v>
      </c>
      <c r="H23" s="75">
        <f>(Tariffs!$E$41+(Tariffs!$E$43*'Time of Use'!$D23)+(Tariffs!$E$44*'Time of Use'!$E23)+(Tariffs!$E$46*'Time of Use'!$F23)+((Tariffs!$E$48*Tariffs!$I$36)*'Time of Use'!$D23)+((Tariffs!$E$49*Tariffs!$I$36)*'Time of Use'!$E23)+(('Time of Use'!$D23+'Time of Use'!$E23)*Tariffs!E$52))*(1+Tariffs!$H$36)</f>
        <v>132397.47012438174</v>
      </c>
      <c r="I23" s="75"/>
      <c r="J23" s="75">
        <f t="shared" ref="J23:J26" si="4">H23-G23</f>
        <v>37.302106949995505</v>
      </c>
      <c r="K23" s="199">
        <f t="shared" si="0"/>
        <v>37.302106949995505</v>
      </c>
      <c r="L23" s="75"/>
      <c r="M23" s="262">
        <f t="shared" si="1"/>
        <v>2.818227530889672E-4</v>
      </c>
      <c r="N23" s="277">
        <f t="shared" si="2"/>
        <v>2.818227530889672E-4</v>
      </c>
      <c r="O23" s="66"/>
      <c r="P23" s="66"/>
    </row>
    <row r="24" spans="2:16" x14ac:dyDescent="0.3">
      <c r="B24" s="66"/>
      <c r="C24" s="151">
        <v>659.83132530120486</v>
      </c>
      <c r="D24" s="143">
        <v>17417</v>
      </c>
      <c r="E24" s="143">
        <v>37349</v>
      </c>
      <c r="F24" s="143">
        <v>83</v>
      </c>
      <c r="G24" s="75">
        <f>(Tariffs!$E$41+(Tariffs!$E$43*'Time of Use'!$D24)+(Tariffs!$E$44*'Time of Use'!$E24)+(Tariffs!$E$46*'Time of Use'!$F24)+((Tariffs!$E$48*Tariffs!$I$36)*'Time of Use'!$D24)+((Tariffs!$E$49*Tariffs!$I$36)*'Time of Use'!$E24))*(1+Tariffs!$H$36)</f>
        <v>37862.47830522</v>
      </c>
      <c r="H24" s="75">
        <f>(Tariffs!$E$41+(Tariffs!$E$43*'Time of Use'!$D24)+(Tariffs!$E$44*'Time of Use'!$E24)+(Tariffs!$E$46*'Time of Use'!$F24)+((Tariffs!$E$48*Tariffs!$I$36)*'Time of Use'!$D24)+((Tariffs!$E$49*Tariffs!$I$36)*'Time of Use'!$E24)+(('Time of Use'!$D24+'Time of Use'!$E24)*Tariffs!E$52))*(1+Tariffs!$H$36)</f>
        <v>37873.675213919996</v>
      </c>
      <c r="I24" s="75"/>
      <c r="J24" s="75">
        <f t="shared" si="4"/>
        <v>11.196908699996129</v>
      </c>
      <c r="K24" s="199">
        <f t="shared" si="0"/>
        <v>11.196908699996129</v>
      </c>
      <c r="L24" s="75"/>
      <c r="M24" s="262">
        <f t="shared" si="1"/>
        <v>2.9572572111447037E-4</v>
      </c>
      <c r="N24" s="277">
        <f t="shared" si="2"/>
        <v>2.9572572111447037E-4</v>
      </c>
      <c r="O24" s="66"/>
      <c r="P24" s="66"/>
    </row>
    <row r="25" spans="2:16" x14ac:dyDescent="0.3">
      <c r="B25" s="66"/>
      <c r="C25" s="151">
        <v>679.37458193979933</v>
      </c>
      <c r="D25" s="143">
        <v>63595</v>
      </c>
      <c r="E25" s="143">
        <v>139538</v>
      </c>
      <c r="F25" s="143">
        <v>299</v>
      </c>
      <c r="G25" s="75">
        <f>(Tariffs!$E$41+(Tariffs!$E$43*'Time of Use'!$D25)+(Tariffs!$E$44*'Time of Use'!$E25)+(Tariffs!$E$46*'Time of Use'!$F25)+((Tariffs!$E$48*Tariffs!$I$36)*'Time of Use'!$D25)+((Tariffs!$E$49*Tariffs!$I$36)*'Time of Use'!$E25))*(1+Tariffs!$H$36)</f>
        <v>139001.37267747286</v>
      </c>
      <c r="H25" s="75">
        <f>(Tariffs!$E$41+(Tariffs!$E$43*'Time of Use'!$D25)+(Tariffs!$E$44*'Time of Use'!$E25)+(Tariffs!$E$46*'Time of Use'!$F25)+((Tariffs!$E$48*Tariffs!$I$36)*'Time of Use'!$D25)+((Tariffs!$E$49*Tariffs!$I$36)*'Time of Use'!$E25)+(('Time of Use'!$D25+'Time of Use'!$E25)*Tariffs!E$52))*(1+Tariffs!$H$36)</f>
        <v>139042.90321932288</v>
      </c>
      <c r="I25" s="75"/>
      <c r="J25" s="75">
        <f t="shared" si="4"/>
        <v>41.530541850021109</v>
      </c>
      <c r="K25" s="199">
        <f t="shared" si="0"/>
        <v>41.530541850021109</v>
      </c>
      <c r="L25" s="75"/>
      <c r="M25" s="262">
        <f t="shared" si="1"/>
        <v>2.9877792607413411E-4</v>
      </c>
      <c r="N25" s="277">
        <f t="shared" si="2"/>
        <v>2.9877792607413411E-4</v>
      </c>
      <c r="O25" s="66"/>
      <c r="P25" s="66"/>
    </row>
    <row r="26" spans="2:16" x14ac:dyDescent="0.3">
      <c r="B26" s="66"/>
      <c r="C26" s="152">
        <v>690.37534246575342</v>
      </c>
      <c r="D26" s="144">
        <v>80769</v>
      </c>
      <c r="E26" s="144">
        <v>171218</v>
      </c>
      <c r="F26" s="144">
        <v>365</v>
      </c>
      <c r="G26" s="153">
        <f>(Tariffs!$E$41+(Tariffs!$E$43*'Time of Use'!$D26)+(Tariffs!$E$44*'Time of Use'!$E26)+(Tariffs!$E$46*'Time of Use'!$F26)+((Tariffs!$E$48*Tariffs!$I$36)*'Time of Use'!$D26)+((Tariffs!$E$49*Tariffs!$I$36)*'Time of Use'!$E26))*(1+Tariffs!$H$36)</f>
        <v>172767.65988425733</v>
      </c>
      <c r="H26" s="153">
        <f>(Tariffs!$E$41+(Tariffs!$E$43*'Time of Use'!$D26)+(Tariffs!$E$44*'Time of Use'!$E26)+(Tariffs!$E$46*'Time of Use'!$F26)+((Tariffs!$E$48*Tariffs!$I$36)*'Time of Use'!$D26)+((Tariffs!$E$49*Tariffs!$I$36)*'Time of Use'!$E26)+(('Time of Use'!$D26+'Time of Use'!$E26)*Tariffs!E$52))*(1+Tariffs!$H$36)</f>
        <v>172819.17862640735</v>
      </c>
      <c r="I26" s="153"/>
      <c r="J26" s="153">
        <f t="shared" si="4"/>
        <v>51.518742150015896</v>
      </c>
      <c r="K26" s="200">
        <f t="shared" si="0"/>
        <v>51.518742150015896</v>
      </c>
      <c r="L26" s="153"/>
      <c r="M26" s="264">
        <f t="shared" si="1"/>
        <v>2.9819667746000533E-4</v>
      </c>
      <c r="N26" s="278">
        <f t="shared" si="2"/>
        <v>2.9819667746000533E-4</v>
      </c>
      <c r="O26" s="66"/>
      <c r="P26" s="66"/>
    </row>
    <row r="27" spans="2:16" x14ac:dyDescent="0.3">
      <c r="B27" s="66"/>
      <c r="C27" s="66"/>
      <c r="D27" s="66"/>
      <c r="E27" s="66"/>
      <c r="F27" s="66"/>
      <c r="G27" s="66"/>
      <c r="H27" s="66"/>
      <c r="I27" s="66"/>
      <c r="J27" s="66"/>
      <c r="K27" s="66"/>
      <c r="L27" s="66"/>
      <c r="M27" s="66"/>
      <c r="N27" s="66"/>
      <c r="O27" s="66"/>
      <c r="P27" s="66"/>
    </row>
    <row r="28" spans="2:16" x14ac:dyDescent="0.3">
      <c r="B28" s="66"/>
      <c r="C28" s="66"/>
      <c r="D28" s="66"/>
      <c r="E28" s="66"/>
      <c r="F28" s="66"/>
      <c r="G28" s="66"/>
      <c r="H28" s="66"/>
      <c r="I28" s="66"/>
      <c r="J28" s="66"/>
      <c r="K28" s="66"/>
      <c r="L28" s="66"/>
      <c r="M28" s="66"/>
      <c r="N28" s="66"/>
      <c r="O28" s="66"/>
      <c r="P28" s="66"/>
    </row>
    <row r="29" spans="2:16" x14ac:dyDescent="0.3">
      <c r="B29" s="66"/>
      <c r="C29" s="66"/>
      <c r="D29" s="66"/>
      <c r="E29" s="66"/>
      <c r="F29" s="66"/>
      <c r="G29" s="66"/>
      <c r="H29" s="66"/>
      <c r="I29" s="66"/>
      <c r="J29" s="66"/>
      <c r="K29" s="66"/>
      <c r="L29" s="66"/>
      <c r="M29" s="66"/>
      <c r="N29" s="66"/>
      <c r="O29" s="66"/>
      <c r="P29" s="66"/>
    </row>
  </sheetData>
  <sortState xmlns:xlrd2="http://schemas.microsoft.com/office/spreadsheetml/2017/richdata2" ref="C7:J26">
    <sortCondition ref="C7:C26"/>
  </sortState>
  <mergeCells count="3">
    <mergeCell ref="J5:K5"/>
    <mergeCell ref="M5:N5"/>
    <mergeCell ref="H4:N4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CETR Rate</vt:lpstr>
      <vt:lpstr>Rate Summary</vt:lpstr>
      <vt:lpstr>Domestic Service</vt:lpstr>
      <vt:lpstr>Employee</vt:lpstr>
      <vt:lpstr>General Service</vt:lpstr>
      <vt:lpstr>Street Lights</vt:lpstr>
      <vt:lpstr>Secondary Voltage Power</vt:lpstr>
      <vt:lpstr>Large Power</vt:lpstr>
      <vt:lpstr>Time of Use</vt:lpstr>
      <vt:lpstr>Tariffs</vt:lpstr>
    </vt:vector>
  </TitlesOfParts>
  <Company>HP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Adrian Carter</dc:creator>
  <cp:lastModifiedBy>Adrian Carter</cp:lastModifiedBy>
  <dcterms:created xsi:type="dcterms:W3CDTF">2023-08-09T15:36:31Z</dcterms:created>
  <dcterms:modified xsi:type="dcterms:W3CDTF">2023-10-04T18:34:58Z</dcterms:modified>
</cp:coreProperties>
</file>